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830" activeTab="0"/>
  </bookViews>
  <sheets>
    <sheet name="Clas. por Objeto del Gasto." sheetId="1" r:id="rId1"/>
    <sheet name="Clas. Administrativa" sheetId="2" r:id="rId2"/>
    <sheet name="Clas. Funcional" sheetId="3" r:id="rId3"/>
    <sheet name="Clas, Tipo de Gasto" sheetId="4" r:id="rId4"/>
    <sheet name="Prioridades del Gasto" sheetId="5" r:id="rId5"/>
    <sheet name="Programas y Proyectos" sheetId="6" r:id="rId6"/>
    <sheet name="Analitico de Plazas " sheetId="7" r:id="rId7"/>
  </sheets>
  <definedNames/>
  <calcPr fullCalcOnLoad="1"/>
</workbook>
</file>

<file path=xl/sharedStrings.xml><?xml version="1.0" encoding="utf-8"?>
<sst xmlns="http://schemas.openxmlformats.org/spreadsheetml/2006/main" count="519" uniqueCount="320">
  <si>
    <t>Clasificador por Objeto del Gasto</t>
  </si>
  <si>
    <t>Importe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</si>
  <si>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</si>
  <si>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</si>
  <si>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</si>
  <si>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</si>
  <si>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</si>
  <si>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</si>
  <si>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</si>
  <si>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</si>
  <si>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</si>
  <si>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</si>
  <si>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</si>
  <si>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</si>
  <si>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</si>
  <si>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</si>
  <si>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</si>
  <si>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</si>
  <si>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</si>
  <si>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</si>
  <si>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</si>
  <si>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</si>
  <si>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</si>
  <si>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</si>
  <si>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</si>
  <si>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</si>
  <si>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</si>
  <si>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</si>
  <si>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</si>
  <si>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</si>
  <si>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Subsidios y Subvenciones</t>
  </si>
  <si>
    <t>Ayudas Sociales</t>
  </si>
  <si>
    <t>Inversión Pública</t>
  </si>
  <si>
    <t>Obra Pública en Bienes Propios</t>
  </si>
  <si>
    <t>Proyectos Productivos y Acciones de Fomento</t>
  </si>
  <si>
    <t>Inversiones Financieras y Otras Provisiones</t>
  </si>
  <si>
    <t>Provisiones para Contingencias y Otras Erogaciones Especiales</t>
  </si>
  <si>
    <t>Participaciones y Aportaciones</t>
  </si>
  <si>
    <t>Participaciones</t>
  </si>
  <si>
    <t>Aportaciones</t>
  </si>
  <si>
    <t>Deuda Pública</t>
  </si>
  <si>
    <t>Amortización de la Deuda Pública</t>
  </si>
  <si>
    <t>Intereses de la Deuda Pública</t>
  </si>
  <si>
    <t>Gastos de la Deuda Pública</t>
  </si>
  <si>
    <t>Costo por Coberturas</t>
  </si>
  <si>
    <t>Adeudos de Ejercicios Fiscales Anteriores (ADEFAS)</t>
  </si>
  <si>
    <t>Formato del Proyecto del Presupuesto de Egresos Armonizado:</t>
  </si>
  <si>
    <t>Clasificación Administrativa</t>
  </si>
  <si>
    <t>Poder Ejecutivo</t>
  </si>
  <si>
    <t>Poder Legislativo</t>
  </si>
  <si>
    <t>Poder Judicial</t>
  </si>
  <si>
    <t>Organos Autónomos*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</si>
  <si>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</si>
  <si>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</si>
  <si>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</si>
  <si>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</si>
  <si>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</si>
  <si>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</si>
  <si>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</si>
  <si>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</si>
  <si>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</si>
  <si>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Organismos Descentralizados de la Administracion Pública</t>
  </si>
  <si>
    <t>Instituciones de Salud y Asistencia Social con Subsidio</t>
  </si>
  <si>
    <t>Transferencias a Municipios</t>
  </si>
  <si>
    <t>Gobierno del Estado de San Luis Potosí</t>
  </si>
  <si>
    <t>Instituciones Educativas y Culturales con Subsidio</t>
  </si>
  <si>
    <t>Analítico de Plazas</t>
  </si>
  <si>
    <t>Programas y Proyectos</t>
  </si>
  <si>
    <t>Plaza/puesto</t>
  </si>
  <si>
    <t>Número de plazas</t>
  </si>
  <si>
    <t>Remuneraciones</t>
  </si>
  <si>
    <t>De</t>
  </si>
  <si>
    <t>hasta</t>
  </si>
  <si>
    <t>-</t>
  </si>
  <si>
    <t>LAVANDERA</t>
  </si>
  <si>
    <t>OPERADOR DE FOTOCOPIADORA</t>
  </si>
  <si>
    <t>MOZO DE ORDENANZAS</t>
  </si>
  <si>
    <t>AUXILIAR DE MANTENIMIENTO</t>
  </si>
  <si>
    <t>MOZO DE OFICINA</t>
  </si>
  <si>
    <t>PEON</t>
  </si>
  <si>
    <t>CHOFER DE SEGUNDA</t>
  </si>
  <si>
    <t>RECEPCIONISTA</t>
  </si>
  <si>
    <t>ALMACENISTA</t>
  </si>
  <si>
    <t>AUX ADMVO DE LA PART</t>
  </si>
  <si>
    <t>AUXILIAR DE ESCENOGRAFO</t>
  </si>
  <si>
    <t>AUXILIAR DE PUERICULTISTA</t>
  </si>
  <si>
    <t>AUXILIAR DE NUTRICION</t>
  </si>
  <si>
    <t>CHOFER DE PRIMERA</t>
  </si>
  <si>
    <t>ELECTRICISTA</t>
  </si>
  <si>
    <t>ANALISTA NO ESPECIALIZADO</t>
  </si>
  <si>
    <t>DIBUJANTE</t>
  </si>
  <si>
    <t>ARCHIVISTA</t>
  </si>
  <si>
    <t>AUXILIAR DE PROGRAMACION</t>
  </si>
  <si>
    <t>MUSICO `B`</t>
  </si>
  <si>
    <t>JEFE DE COCINA</t>
  </si>
  <si>
    <t>CAPTURISTA</t>
  </si>
  <si>
    <t>ANALISTA DE ORG Y METODOS</t>
  </si>
  <si>
    <t>AUX EN ADMINISTRACION</t>
  </si>
  <si>
    <t>AUX EN CONTABILIDAD</t>
  </si>
  <si>
    <t>AUXILIAR DE AUDITOR</t>
  </si>
  <si>
    <t>AUXILIAR DE MEDICO</t>
  </si>
  <si>
    <t>AUXILIAR JURIDICO</t>
  </si>
  <si>
    <t>MUSICO DE PRIMERA</t>
  </si>
  <si>
    <t>OFICIAL DE PARTES</t>
  </si>
  <si>
    <t>VIGILANTE</t>
  </si>
  <si>
    <t>REPRESENTANTE OBRERO</t>
  </si>
  <si>
    <t>REPRESENTANTE PATRONAL</t>
  </si>
  <si>
    <t>ANALISTA DE SIST COMP</t>
  </si>
  <si>
    <t>CHOFER DE TRAILER</t>
  </si>
  <si>
    <t>PROG DE COMPUTADORA</t>
  </si>
  <si>
    <t>AGENTE FISCAL</t>
  </si>
  <si>
    <t>MUSICO SOLISTA</t>
  </si>
  <si>
    <t>JEFE DE SECCION</t>
  </si>
  <si>
    <t>MUSICO MAYOR</t>
  </si>
  <si>
    <t>ABOGADO ESPECIALIZADO</t>
  </si>
  <si>
    <t>COORDINADOR DE VUELOS</t>
  </si>
  <si>
    <t>ING EN SIST COMPUTACIONAL</t>
  </si>
  <si>
    <t>MEDICO ESPECIALIZADO</t>
  </si>
  <si>
    <t>INVESTIGADOR</t>
  </si>
  <si>
    <t>SRIA DEL DESP DEL C GOB</t>
  </si>
  <si>
    <t>ENCARGADO DE PROGRAMA</t>
  </si>
  <si>
    <t>JUEZ MAESTRO</t>
  </si>
  <si>
    <t>SECRETARIO PROYECTISTA</t>
  </si>
  <si>
    <t>REGISTRADOR</t>
  </si>
  <si>
    <t>SUB-PROC DEFENSA DEL TRAB</t>
  </si>
  <si>
    <t>JEFE DE BIBLIOTECA</t>
  </si>
  <si>
    <t>JEFE DE DEPARTAMENTO</t>
  </si>
  <si>
    <t>JEFE DE MUSEO</t>
  </si>
  <si>
    <t>JEFE DE OF SUB DE RENTA</t>
  </si>
  <si>
    <t>SUPERVISOR GENERAL</t>
  </si>
  <si>
    <t>INSPECTOR GENERAL</t>
  </si>
  <si>
    <t>DEFENSOR DE OFICIO</t>
  </si>
  <si>
    <t>MEDICO ESPECIALIZADO CERESO</t>
  </si>
  <si>
    <t>SECRETARIO DE ACUERDOS</t>
  </si>
  <si>
    <t>SRIO GRAL J ESP C A</t>
  </si>
  <si>
    <t>SRIA EJECT DESP DEL C GOB</t>
  </si>
  <si>
    <t>SUB-DIRECTOR</t>
  </si>
  <si>
    <t>REPRESENTANTE DE ZONA</t>
  </si>
  <si>
    <t>DIRECTOR DE AREA</t>
  </si>
  <si>
    <t>PDTE JUNTA ESP DE C Y A</t>
  </si>
  <si>
    <t>PROCURADOR DEF DEL TRAB</t>
  </si>
  <si>
    <t>PROCURADOR FISCAL</t>
  </si>
  <si>
    <t>SRIO PART DE SECRETARIO</t>
  </si>
  <si>
    <t>SRIO GRAL JLCA</t>
  </si>
  <si>
    <t>DIRECTOR GENERAL</t>
  </si>
  <si>
    <t>ASESOR DEL C GOBERNADOR</t>
  </si>
  <si>
    <t>PILOTO DE AVIACION</t>
  </si>
  <si>
    <t>SECRETARIO PRIVADO</t>
  </si>
  <si>
    <t>PTE JTA LOC CONC Y ARB</t>
  </si>
  <si>
    <t>SUB-SECRETARIO</t>
  </si>
  <si>
    <t>TESORERO GENERAL</t>
  </si>
  <si>
    <t>COORDINADOR GRAL</t>
  </si>
  <si>
    <t>SRIO PART C GOBERNADOR</t>
  </si>
  <si>
    <t>COORDINADOR DE ASESORES</t>
  </si>
  <si>
    <t>SECRETARIO</t>
  </si>
  <si>
    <t>SUB-OFICIAL</t>
  </si>
  <si>
    <t>OFICIAL</t>
  </si>
  <si>
    <t>JEFE DE TURNO</t>
  </si>
  <si>
    <t>AYUDANTE GENERAL</t>
  </si>
  <si>
    <t>OPERADOR TECNICO DE EMERGENCIA</t>
  </si>
  <si>
    <t>EVALUADOR DE PROGRAMA</t>
  </si>
  <si>
    <t>AUXILIAR EN INFORMATICA</t>
  </si>
  <si>
    <t xml:space="preserve">ANALISTA JURIDICO   </t>
  </si>
  <si>
    <t>ASISTENTE ADMINISTRATIVO</t>
  </si>
  <si>
    <t>OFICIAL ADMVO DE SEGURIDAD C</t>
  </si>
  <si>
    <t>ANALISTA JURIDICA (O) DE SEGURIDAD</t>
  </si>
  <si>
    <t>APOYO ADMINISTRATIVA (O) SE SEGURIDAD</t>
  </si>
  <si>
    <t>OFICIAL ADMVO DE SEGURIDAD B</t>
  </si>
  <si>
    <t>OFICIAL ADMVO DE SEGURIDAD A</t>
  </si>
  <si>
    <t>ASISTENTE TECNICO</t>
  </si>
  <si>
    <t>JEFE DE GRUPO (SEGURIDAD Y CUSTODIA)</t>
  </si>
  <si>
    <t>JEFE DE GRUPO ADMVO DE SEGURIDAD</t>
  </si>
  <si>
    <t>JEFE DE SECC.SEG. Y CUST.</t>
  </si>
  <si>
    <t>PSIQUIATRA SEGURIDAD Y CUSTODIA</t>
  </si>
  <si>
    <t>ENFERMERA (O) SEGURIDAD Y CUSTODIA</t>
  </si>
  <si>
    <t>JUEZ MEDICO</t>
  </si>
  <si>
    <t>JEFE DE GRUPO. SEG. Y CUST.</t>
  </si>
  <si>
    <t>JEFE DE OFICINA ADMVA. DE SEG.</t>
  </si>
  <si>
    <t>SUB-JEFE DE SEG.Y CUSTOD.</t>
  </si>
  <si>
    <t>PRIMER OFICIAL (PROCURADURIA)</t>
  </si>
  <si>
    <t>ODONTOLOGA (O)SEGURIDAD Y CUSTODIA</t>
  </si>
  <si>
    <t>SRIO.GRAL.PENITENCIARIA</t>
  </si>
  <si>
    <t>CONSEJERO JURIDICO DE GOBIERNO</t>
  </si>
  <si>
    <t>C. GOBERNADOR</t>
  </si>
  <si>
    <t>INSPECTOR DE TRANSPORTE</t>
  </si>
  <si>
    <t>SUPERVISOR AUXILIAR</t>
  </si>
  <si>
    <t>TECNICO ARCHIVISTA CERESO</t>
  </si>
  <si>
    <t>TECNICO LABORATORISTA CERESO</t>
  </si>
  <si>
    <t>QUIMICO FARMACOBIOLOGO DE CERESO</t>
  </si>
  <si>
    <t>MEDICO GENERAL CERESO</t>
  </si>
  <si>
    <t>PEON SEDUVOP</t>
  </si>
  <si>
    <t>DESBROZADOR SEDUVOP</t>
  </si>
  <si>
    <t>ENCARGADO DE FOTOCOPIADO</t>
  </si>
  <si>
    <t>DICTAMINADOR DE UNIDAD DE INVERSION</t>
  </si>
  <si>
    <t>JEFE DE CUADRILLA SEDUVOP</t>
  </si>
  <si>
    <t>CHOFER DE SEGUNDA SEDUVOP</t>
  </si>
  <si>
    <t>APOYO INFORMATICA SEGURIDAD</t>
  </si>
  <si>
    <t>ANALISTA ESPECIALIZADO</t>
  </si>
  <si>
    <t>DEFENSOR SOCIAL</t>
  </si>
  <si>
    <t>Coordinación entre niveles de gobierno</t>
  </si>
  <si>
    <t>ARTESANOS</t>
  </si>
  <si>
    <t>POLICIA</t>
  </si>
  <si>
    <t>OFICIAL INTENDENTE</t>
  </si>
  <si>
    <t>POLICIA TERCERO</t>
  </si>
  <si>
    <t>POLICIA OPERATIVO CERTIFICADO C512</t>
  </si>
  <si>
    <t>POLICIA SEGUNDO</t>
  </si>
  <si>
    <t>POLICIA PRIMERO</t>
  </si>
  <si>
    <t>PSICOLOGA (O)</t>
  </si>
  <si>
    <t>REPORTERA (O)</t>
  </si>
  <si>
    <t>ENFERMERA (O) TITULADA (O)</t>
  </si>
  <si>
    <t>INSPECTOR (A) ESPECIALIZADO (A)</t>
  </si>
  <si>
    <t>CUSTODIA (O) "B"</t>
  </si>
  <si>
    <t>SUPERVISOR (A) ESPECIALIZADO (A)</t>
  </si>
  <si>
    <t>CONCILIADOR (A)</t>
  </si>
  <si>
    <t>DICTAMINADOR (A)</t>
  </si>
  <si>
    <t>MEDICA (O) GENERAL</t>
  </si>
  <si>
    <t xml:space="preserve">ODONTOLOGA (O) </t>
  </si>
  <si>
    <t>SECRETARIA (O) DE SECRETARIO</t>
  </si>
  <si>
    <t>AUDITOR (A)</t>
  </si>
  <si>
    <t>ABOGADA (O) "B"</t>
  </si>
  <si>
    <t>JEFATURA DE VIGILANCIA</t>
  </si>
  <si>
    <t xml:space="preserve">SUB INSPECTOR (A) (PRIMER OFICIAL)  </t>
  </si>
  <si>
    <t>ABOGADA (O) ESPECIALIZADA (O)</t>
  </si>
  <si>
    <t>ACTUARIA (O)</t>
  </si>
  <si>
    <t>SUB-OFICIAL DE SEGURIDAD</t>
  </si>
  <si>
    <t>CONSEJERO ADJUNTO</t>
  </si>
  <si>
    <t>Previsiones</t>
  </si>
  <si>
    <t>Materias Primas y Materiales de Producción y Comercialización</t>
  </si>
  <si>
    <t>Transferencias al Resto del Sector Público</t>
  </si>
  <si>
    <t>Bienes Muebles, Inmuebles e Intangibles</t>
  </si>
  <si>
    <t>Mobiliario y Equipo de Administración</t>
  </si>
  <si>
    <t>Mobiliario y Equipo Educacional y Recreativo</t>
  </si>
  <si>
    <t>Maquinaria, Otros Equipos y Herramientas</t>
  </si>
  <si>
    <t>Activos Intangibles</t>
  </si>
  <si>
    <t>Obra Pública en Bienes de Dominio Público</t>
  </si>
  <si>
    <t>Presupuesto de Egresos para el Ejercicio Fiscal 2022</t>
  </si>
  <si>
    <t>Administración Pública Paraestatal</t>
  </si>
  <si>
    <t>Organismos Descentralizados de la Administración Pública</t>
  </si>
  <si>
    <t>Participación a Municipios</t>
  </si>
  <si>
    <t>Fondos</t>
  </si>
  <si>
    <t>Bienestar para San Luis</t>
  </si>
  <si>
    <t>Programa Presupuestario</t>
  </si>
  <si>
    <t>Economía Sustentable para San Luis</t>
  </si>
  <si>
    <t>Gobierno Responsable para San Luis</t>
  </si>
  <si>
    <t>Seguridad y Justicia para San Luis</t>
  </si>
  <si>
    <t>Prioridades del Gasto</t>
  </si>
  <si>
    <t>Elementos programáticos</t>
  </si>
  <si>
    <t>Atención a Pueblos Originarios</t>
  </si>
  <si>
    <t>Educación, Cultura y Deporte de Calidad</t>
  </si>
  <si>
    <t>Inclusión Social e Igualdad de Género</t>
  </si>
  <si>
    <t>Menos Pobreza más Bienestar</t>
  </si>
  <si>
    <t>Salud</t>
  </si>
  <si>
    <t>Paz y Seguridad</t>
  </si>
  <si>
    <t>Justicia e Instituciones Sólidas</t>
  </si>
  <si>
    <t>Reinserción Social</t>
  </si>
  <si>
    <t>Combate a la Delincuencia y Atención a Víctimas</t>
  </si>
  <si>
    <t>Protección Civil y Atención a Desastres</t>
  </si>
  <si>
    <t>Desarrollo Económico y Sustentable</t>
  </si>
  <si>
    <t>Turismo</t>
  </si>
  <si>
    <t>Infraestructura y Agenda Urbana</t>
  </si>
  <si>
    <t>Desarrollo del Campo Sostenible</t>
  </si>
  <si>
    <t>Recuperación Hidríca con Enfoque de Cuencas</t>
  </si>
  <si>
    <t>Desarrollo Ambiental y Energías Alternativas</t>
  </si>
  <si>
    <t>Alianzas para la Gobernabilidad</t>
  </si>
  <si>
    <t>Anticorrupción y Combate a la Impunidad</t>
  </si>
  <si>
    <t>Finanzas Responsables y Sanas</t>
  </si>
  <si>
    <t xml:space="preserve">Gobierno Digital para la Certidumbre Patrimonial </t>
  </si>
  <si>
    <t>Derechos Humanos</t>
  </si>
  <si>
    <t>ASISTENTE DE OPERADOR</t>
  </si>
  <si>
    <t>COCINERA (O)</t>
  </si>
  <si>
    <t>UJIER</t>
  </si>
  <si>
    <t>VELADOR (A)</t>
  </si>
  <si>
    <t>JARDINERA (O)</t>
  </si>
  <si>
    <t>JEFATURA DE CUADRILLA</t>
  </si>
  <si>
    <t>INSPECTOR (A) FITOZOOSANITARIO</t>
  </si>
  <si>
    <t>ENCARGADA (O) DE SALA</t>
  </si>
  <si>
    <t>PELUQUERA (O)</t>
  </si>
  <si>
    <t>PINTOR (A)</t>
  </si>
  <si>
    <t>PLOMERA (O)</t>
  </si>
  <si>
    <t>ENCUADERNADOR (A)</t>
  </si>
  <si>
    <t>MECANICA (O) DE PRIMERA</t>
  </si>
  <si>
    <t>ENFERMERA (O) AUXILIAR</t>
  </si>
  <si>
    <t>SRIA TAQUIMECANOGRAFA (O)</t>
  </si>
  <si>
    <t>CAPACITADOR (A)</t>
  </si>
  <si>
    <t>MAESTRO (A) EDUCADOR (A)</t>
  </si>
  <si>
    <t>OPERADOR (A) DE MAQ PESADA</t>
  </si>
  <si>
    <t>TECNICA (O) NO ESPECIALIZADA (O)</t>
  </si>
  <si>
    <t>INSPECTOR (A)</t>
  </si>
  <si>
    <t xml:space="preserve">SUPERVISOR (A)  </t>
  </si>
  <si>
    <t>MECANOGRAFA (O)</t>
  </si>
  <si>
    <t>AUXILIAR ADMINISTRATIVA (O)</t>
  </si>
  <si>
    <t>PUERICULTURISTA-5</t>
  </si>
  <si>
    <t>BIBLIOTECARIA (O)</t>
  </si>
  <si>
    <t>VISITADOR (A)</t>
  </si>
  <si>
    <t>TRABAJADOR (A) SOCIAL</t>
  </si>
  <si>
    <t>ESCENOGRAFA (O)</t>
  </si>
  <si>
    <t>ENCARGADA (O) DE CAJAS</t>
  </si>
  <si>
    <t>SECRETARIA (O) CAPTURISTA</t>
  </si>
  <si>
    <t xml:space="preserve">CUSTODIO   </t>
  </si>
  <si>
    <t>TECNICA (O) ESPECIALIZADA (O)</t>
  </si>
  <si>
    <t>DISEÑADOR (A) GRAFICO (A)</t>
  </si>
  <si>
    <t>LICENCIADA (O) EN EDUCACION PREESCOLAR</t>
  </si>
  <si>
    <t>ENFERMERA (O) AUXILIAR CERESO</t>
  </si>
  <si>
    <t>SRIA (O) DE DIRECTOR</t>
  </si>
  <si>
    <t>CUSTODIA (O) A</t>
  </si>
  <si>
    <t>JEFATURA DE GRUPO</t>
  </si>
  <si>
    <t>CAJERA (O)</t>
  </si>
  <si>
    <t>ABOGADA (O)</t>
  </si>
  <si>
    <t>JEFATURA DE OFICINA</t>
  </si>
  <si>
    <t>SECRETARIA (O) DE ESTUDIO Y CUENTA</t>
  </si>
  <si>
    <t>SUB PROCURADOR (A) DEFENSA VICTIMAS DEL DELITO</t>
  </si>
  <si>
    <t>DEFENSOR (A) PUBLICA (O)</t>
  </si>
  <si>
    <t>AUX., DE PROCURADOR</t>
  </si>
  <si>
    <t>PREJUBILATORIO A</t>
  </si>
  <si>
    <t>PREJUBILATORIO B</t>
  </si>
  <si>
    <t>DIREC.ARCHIVO HISTORICO</t>
  </si>
  <si>
    <t>DIRECTOR (A) GENERAL DESCENTRALIZADO</t>
  </si>
  <si>
    <t>MAGISTRADO</t>
  </si>
  <si>
    <t>REP.DEL GOB.DEL EDO. EN DF</t>
  </si>
  <si>
    <t>MAGISTRADO PDTE.DEL TRIB.DE LO CONT.ADMVO.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</si>
</sst>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);\-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6.95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3" fontId="0" fillId="0" borderId="0" xfId="0" applyNumberForma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3" fontId="6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justify" vertical="center" wrapText="1"/>
    </xf>
    <xf numFmtId="3" fontId="3" fillId="33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8" fillId="34" borderId="11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68" fontId="2" fillId="0" borderId="0" xfId="0" applyNumberFormat="1" applyFont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35" borderId="0" xfId="47" applyFont="1" applyFill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168" fontId="12" fillId="35" borderId="0" xfId="0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47" applyFont="1" applyAlignment="1">
      <alignment/>
    </xf>
    <xf numFmtId="0" fontId="5" fillId="0" borderId="16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5" xfId="0" applyFont="1" applyBorder="1" applyAlignment="1">
      <alignment horizontal="left" vertical="center"/>
    </xf>
    <xf numFmtId="43" fontId="0" fillId="0" borderId="20" xfId="47" applyFont="1" applyBorder="1" applyAlignment="1">
      <alignment horizontal="center"/>
    </xf>
    <xf numFmtId="43" fontId="0" fillId="0" borderId="21" xfId="47" applyFont="1" applyBorder="1" applyAlignment="1">
      <alignment horizontal="center"/>
    </xf>
    <xf numFmtId="43" fontId="0" fillId="0" borderId="0" xfId="47" applyFont="1" applyAlignment="1">
      <alignment/>
    </xf>
    <xf numFmtId="43" fontId="0" fillId="0" borderId="15" xfId="47" applyFont="1" applyBorder="1" applyAlignment="1">
      <alignment vertical="center"/>
    </xf>
    <xf numFmtId="43" fontId="0" fillId="0" borderId="22" xfId="47" applyFont="1" applyBorder="1" applyAlignment="1">
      <alignment vertical="center"/>
    </xf>
    <xf numFmtId="43" fontId="0" fillId="0" borderId="10" xfId="47" applyFont="1" applyBorder="1" applyAlignment="1">
      <alignment vertical="center"/>
    </xf>
    <xf numFmtId="43" fontId="0" fillId="0" borderId="23" xfId="47" applyFont="1" applyBorder="1" applyAlignment="1">
      <alignment horizontal="center"/>
    </xf>
    <xf numFmtId="43" fontId="0" fillId="0" borderId="19" xfId="47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wrapText="1"/>
    </xf>
    <xf numFmtId="43" fontId="0" fillId="0" borderId="22" xfId="47" applyFont="1" applyBorder="1" applyAlignment="1">
      <alignment horizontal="center" vertical="center"/>
    </xf>
    <xf numFmtId="43" fontId="0" fillId="0" borderId="22" xfId="47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</xdr:col>
      <xdr:colOff>1190625</xdr:colOff>
      <xdr:row>4</xdr:row>
      <xdr:rowOff>66675</xdr:rowOff>
    </xdr:to>
    <xdr:grpSp>
      <xdr:nvGrpSpPr>
        <xdr:cNvPr id="1" name="Grupo 4"/>
        <xdr:cNvGrpSpPr>
          <a:grpSpLocks/>
        </xdr:cNvGrpSpPr>
      </xdr:nvGrpSpPr>
      <xdr:grpSpPr>
        <a:xfrm>
          <a:off x="771525" y="238125"/>
          <a:ext cx="1181100" cy="628650"/>
          <a:chOff x="133350" y="0"/>
          <a:chExt cx="1419225" cy="771525"/>
        </a:xfrm>
        <a:solidFill>
          <a:srgbClr val="FFFFFF"/>
        </a:solidFill>
      </xdr:grpSpPr>
      <xdr:pic>
        <xdr:nvPicPr>
          <xdr:cNvPr id="2" name="Imagen 6" descr="Gallardo Cardona rinde protesta como nuevo gobernador de SLP - Líder  Empresaria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42907" y="28546"/>
            <a:ext cx="809668" cy="7429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 descr="http://www.slp.gob.mx/imagenes/WEB%20GOB-03.jpg"/>
          <xdr:cNvPicPr preferRelativeResize="1">
            <a:picLocks noChangeAspect="1"/>
          </xdr:cNvPicPr>
        </xdr:nvPicPr>
        <xdr:blipFill>
          <a:blip r:embed="rId2"/>
          <a:srcRect r="80064"/>
          <a:stretch>
            <a:fillRect/>
          </a:stretch>
        </xdr:blipFill>
        <xdr:spPr>
          <a:xfrm>
            <a:off x="133350" y="0"/>
            <a:ext cx="713515" cy="7524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0</xdr:row>
      <xdr:rowOff>0</xdr:rowOff>
    </xdr:from>
    <xdr:to>
      <xdr:col>1</xdr:col>
      <xdr:colOff>2343150</xdr:colOff>
      <xdr:row>2</xdr:row>
      <xdr:rowOff>161925</xdr:rowOff>
    </xdr:to>
    <xdr:grpSp>
      <xdr:nvGrpSpPr>
        <xdr:cNvPr id="1" name="Grupo 3"/>
        <xdr:cNvGrpSpPr>
          <a:grpSpLocks/>
        </xdr:cNvGrpSpPr>
      </xdr:nvGrpSpPr>
      <xdr:grpSpPr>
        <a:xfrm>
          <a:off x="2076450" y="0"/>
          <a:ext cx="1028700" cy="542925"/>
          <a:chOff x="133350" y="0"/>
          <a:chExt cx="1419225" cy="771525"/>
        </a:xfrm>
        <a:solidFill>
          <a:srgbClr val="FFFFFF"/>
        </a:solidFill>
      </xdr:grpSpPr>
      <xdr:pic>
        <xdr:nvPicPr>
          <xdr:cNvPr id="2" name="Imagen 6" descr="Gallardo Cardona rinde protesta como nuevo gobernador de SLP - Líder  Empresaria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42907" y="28546"/>
            <a:ext cx="809668" cy="7429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 descr="http://www.slp.gob.mx/imagenes/WEB%20GOB-03.jpg"/>
          <xdr:cNvPicPr preferRelativeResize="1">
            <a:picLocks noChangeAspect="1"/>
          </xdr:cNvPicPr>
        </xdr:nvPicPr>
        <xdr:blipFill>
          <a:blip r:embed="rId2"/>
          <a:srcRect r="80064"/>
          <a:stretch>
            <a:fillRect/>
          </a:stretch>
        </xdr:blipFill>
        <xdr:spPr>
          <a:xfrm>
            <a:off x="133350" y="0"/>
            <a:ext cx="713515" cy="7524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0</xdr:row>
      <xdr:rowOff>0</xdr:rowOff>
    </xdr:from>
    <xdr:to>
      <xdr:col>1</xdr:col>
      <xdr:colOff>2705100</xdr:colOff>
      <xdr:row>2</xdr:row>
      <xdr:rowOff>161925</xdr:rowOff>
    </xdr:to>
    <xdr:grpSp>
      <xdr:nvGrpSpPr>
        <xdr:cNvPr id="1" name="Grupo 2"/>
        <xdr:cNvGrpSpPr>
          <a:grpSpLocks/>
        </xdr:cNvGrpSpPr>
      </xdr:nvGrpSpPr>
      <xdr:grpSpPr>
        <a:xfrm>
          <a:off x="2438400" y="0"/>
          <a:ext cx="1028700" cy="542925"/>
          <a:chOff x="133350" y="0"/>
          <a:chExt cx="1419225" cy="771525"/>
        </a:xfrm>
        <a:solidFill>
          <a:srgbClr val="FFFFFF"/>
        </a:solidFill>
      </xdr:grpSpPr>
      <xdr:pic>
        <xdr:nvPicPr>
          <xdr:cNvPr id="2" name="Imagen 6" descr="Gallardo Cardona rinde protesta como nuevo gobernador de SLP - Líder  Empresaria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42907" y="28546"/>
            <a:ext cx="809668" cy="7429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 descr="http://www.slp.gob.mx/imagenes/WEB%20GOB-03.jpg"/>
          <xdr:cNvPicPr preferRelativeResize="1">
            <a:picLocks noChangeAspect="1"/>
          </xdr:cNvPicPr>
        </xdr:nvPicPr>
        <xdr:blipFill>
          <a:blip r:embed="rId2"/>
          <a:srcRect r="80064"/>
          <a:stretch>
            <a:fillRect/>
          </a:stretch>
        </xdr:blipFill>
        <xdr:spPr>
          <a:xfrm>
            <a:off x="133350" y="0"/>
            <a:ext cx="713515" cy="7524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0</xdr:row>
      <xdr:rowOff>0</xdr:rowOff>
    </xdr:from>
    <xdr:to>
      <xdr:col>1</xdr:col>
      <xdr:colOff>2733675</xdr:colOff>
      <xdr:row>2</xdr:row>
      <xdr:rowOff>161925</xdr:rowOff>
    </xdr:to>
    <xdr:grpSp>
      <xdr:nvGrpSpPr>
        <xdr:cNvPr id="1" name="Grupo 2"/>
        <xdr:cNvGrpSpPr>
          <a:grpSpLocks/>
        </xdr:cNvGrpSpPr>
      </xdr:nvGrpSpPr>
      <xdr:grpSpPr>
        <a:xfrm>
          <a:off x="2466975" y="0"/>
          <a:ext cx="1028700" cy="542925"/>
          <a:chOff x="133350" y="0"/>
          <a:chExt cx="1419225" cy="771525"/>
        </a:xfrm>
        <a:solidFill>
          <a:srgbClr val="FFFFFF"/>
        </a:solidFill>
      </xdr:grpSpPr>
      <xdr:pic>
        <xdr:nvPicPr>
          <xdr:cNvPr id="2" name="Imagen 6" descr="Gallardo Cardona rinde protesta como nuevo gobernador de SLP - Líder  Empresaria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42907" y="28546"/>
            <a:ext cx="809668" cy="7429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 descr="http://www.slp.gob.mx/imagenes/WEB%20GOB-03.jpg"/>
          <xdr:cNvPicPr preferRelativeResize="1">
            <a:picLocks noChangeAspect="1"/>
          </xdr:cNvPicPr>
        </xdr:nvPicPr>
        <xdr:blipFill>
          <a:blip r:embed="rId2"/>
          <a:srcRect r="80064"/>
          <a:stretch>
            <a:fillRect/>
          </a:stretch>
        </xdr:blipFill>
        <xdr:spPr>
          <a:xfrm>
            <a:off x="133350" y="0"/>
            <a:ext cx="713515" cy="7524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1847850</xdr:colOff>
      <xdr:row>0</xdr:row>
      <xdr:rowOff>0</xdr:rowOff>
    </xdr:from>
    <xdr:to>
      <xdr:col>1</xdr:col>
      <xdr:colOff>2876550</xdr:colOff>
      <xdr:row>2</xdr:row>
      <xdr:rowOff>161925</xdr:rowOff>
    </xdr:to>
    <xdr:grpSp>
      <xdr:nvGrpSpPr>
        <xdr:cNvPr id="1" name="Grupo 2"/>
        <xdr:cNvGrpSpPr>
          <a:grpSpLocks/>
        </xdr:cNvGrpSpPr>
      </xdr:nvGrpSpPr>
      <xdr:grpSpPr>
        <a:xfrm>
          <a:off x="2609850" y="0"/>
          <a:ext cx="1028700" cy="542925"/>
          <a:chOff x="133350" y="0"/>
          <a:chExt cx="1419225" cy="771525"/>
        </a:xfrm>
        <a:solidFill>
          <a:srgbClr val="FFFFFF"/>
        </a:solidFill>
      </xdr:grpSpPr>
      <xdr:pic>
        <xdr:nvPicPr>
          <xdr:cNvPr id="2" name="Imagen 6" descr="Gallardo Cardona rinde protesta como nuevo gobernador de SLP - Líder  Empresaria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42907" y="28546"/>
            <a:ext cx="809668" cy="7429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 descr="http://www.slp.gob.mx/imagenes/WEB%20GOB-03.jpg"/>
          <xdr:cNvPicPr preferRelativeResize="1">
            <a:picLocks noChangeAspect="1"/>
          </xdr:cNvPicPr>
        </xdr:nvPicPr>
        <xdr:blipFill>
          <a:blip r:embed="rId2"/>
          <a:srcRect r="80064"/>
          <a:stretch>
            <a:fillRect/>
          </a:stretch>
        </xdr:blipFill>
        <xdr:spPr>
          <a:xfrm>
            <a:off x="133350" y="0"/>
            <a:ext cx="713515" cy="7524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1028700</xdr:colOff>
      <xdr:row>2</xdr:row>
      <xdr:rowOff>152400</xdr:rowOff>
    </xdr:to>
    <xdr:grpSp>
      <xdr:nvGrpSpPr>
        <xdr:cNvPr id="1" name="Grupo 1"/>
        <xdr:cNvGrpSpPr>
          <a:grpSpLocks/>
        </xdr:cNvGrpSpPr>
      </xdr:nvGrpSpPr>
      <xdr:grpSpPr>
        <a:xfrm>
          <a:off x="0" y="0"/>
          <a:ext cx="1028700" cy="542925"/>
          <a:chOff x="133350" y="0"/>
          <a:chExt cx="1419225" cy="771525"/>
        </a:xfrm>
        <a:solidFill>
          <a:srgbClr val="FFFFFF"/>
        </a:solidFill>
      </xdr:grpSpPr>
      <xdr:pic>
        <xdr:nvPicPr>
          <xdr:cNvPr id="2" name="Imagen 6" descr="Gallardo Cardona rinde protesta como nuevo gobernador de SLP - Líder  Empresaria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42907" y="28546"/>
            <a:ext cx="809668" cy="7429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 descr="http://www.slp.gob.mx/imagenes/WEB%20GOB-03.jpg"/>
          <xdr:cNvPicPr preferRelativeResize="1">
            <a:picLocks noChangeAspect="1"/>
          </xdr:cNvPicPr>
        </xdr:nvPicPr>
        <xdr:blipFill>
          <a:blip r:embed="rId2"/>
          <a:srcRect r="80064"/>
          <a:stretch>
            <a:fillRect/>
          </a:stretch>
        </xdr:blipFill>
        <xdr:spPr>
          <a:xfrm>
            <a:off x="133350" y="0"/>
            <a:ext cx="713515" cy="7524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85725</xdr:rowOff>
    </xdr:from>
    <xdr:to>
      <xdr:col>2</xdr:col>
      <xdr:colOff>85725</xdr:colOff>
      <xdr:row>3</xdr:row>
      <xdr:rowOff>142875</xdr:rowOff>
    </xdr:to>
    <xdr:grpSp>
      <xdr:nvGrpSpPr>
        <xdr:cNvPr id="1" name="Grupo 1"/>
        <xdr:cNvGrpSpPr>
          <a:grpSpLocks/>
        </xdr:cNvGrpSpPr>
      </xdr:nvGrpSpPr>
      <xdr:grpSpPr>
        <a:xfrm>
          <a:off x="971550" y="85725"/>
          <a:ext cx="1152525" cy="647700"/>
          <a:chOff x="133350" y="0"/>
          <a:chExt cx="1419225" cy="771525"/>
        </a:xfrm>
        <a:solidFill>
          <a:srgbClr val="FFFFFF"/>
        </a:solidFill>
      </xdr:grpSpPr>
      <xdr:pic>
        <xdr:nvPicPr>
          <xdr:cNvPr id="2" name="Imagen 6" descr="Gallardo Cardona rinde protesta como nuevo gobernador de SLP - Líder  Empresaria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42907" y="28546"/>
            <a:ext cx="809668" cy="7429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 descr="http://www.slp.gob.mx/imagenes/WEB%20GOB-03.jpg"/>
          <xdr:cNvPicPr preferRelativeResize="1">
            <a:picLocks noChangeAspect="1"/>
          </xdr:cNvPicPr>
        </xdr:nvPicPr>
        <xdr:blipFill>
          <a:blip r:embed="rId2"/>
          <a:srcRect r="80064"/>
          <a:stretch>
            <a:fillRect/>
          </a:stretch>
        </xdr:blipFill>
        <xdr:spPr>
          <a:xfrm>
            <a:off x="133350" y="0"/>
            <a:ext cx="713515" cy="7524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1:F58"/>
  <sheetViews>
    <sheetView tabSelected="1" zoomScalePageLayoutView="0" workbookViewId="0" topLeftCell="A1">
      <selection activeCell="B11" sqref="B11"/>
    </sheetView>
  </sheetViews>
  <sheetFormatPr defaultColWidth="11.421875" defaultRowHeight="15"/>
  <cols>
    <col min="2" max="2" width="70.140625" style="0" customWidth="1"/>
    <col min="3" max="3" width="20.00390625" style="5" bestFit="1" customWidth="1"/>
    <col min="4" max="4" width="16.8515625" style="0" bestFit="1" customWidth="1"/>
    <col min="5" max="5" width="12.28125" style="0" bestFit="1" customWidth="1"/>
  </cols>
  <sheetData>
    <row r="1" spans="2:3" ht="15.75" thickBot="1">
      <c r="B1" s="55" t="s">
        <v>46</v>
      </c>
      <c r="C1" s="55"/>
    </row>
    <row r="2" spans="2:3" ht="15.75" thickBot="1">
      <c r="B2" s="35"/>
      <c r="C2" s="36"/>
    </row>
    <row r="3" spans="2:3" ht="15.75" thickBot="1">
      <c r="B3" s="56" t="s">
        <v>64</v>
      </c>
      <c r="C3" s="57"/>
    </row>
    <row r="4" spans="2:3" ht="15.75" thickBot="1">
      <c r="B4" s="56" t="s">
        <v>235</v>
      </c>
      <c r="C4" s="57"/>
    </row>
    <row r="5" spans="2:3" ht="15.75" thickBot="1">
      <c r="B5" s="1" t="s">
        <v>0</v>
      </c>
      <c r="C5" s="14" t="s">
        <v>1</v>
      </c>
    </row>
    <row r="6" spans="2:3" ht="16.5" thickBot="1">
      <c r="B6" s="20" t="s">
        <v>2</v>
      </c>
      <c r="C6" s="21">
        <f>+C7+C15+C24+C34+C44+C48+C50+C53+C39</f>
        <v>53121890110</v>
      </c>
    </row>
    <row r="7" spans="2:3" ht="15.75" thickBot="1">
      <c r="B7" s="17" t="s">
        <v>3</v>
      </c>
      <c r="C7" s="19">
        <f>SUM(C8:C14)</f>
        <v>8374522705</v>
      </c>
    </row>
    <row r="8" spans="2:3" ht="15.75" thickBot="1">
      <c r="B8" s="3" t="s">
        <v>4</v>
      </c>
      <c r="C8" s="11">
        <v>3848566149</v>
      </c>
    </row>
    <row r="9" spans="2:3" ht="15.75" thickBot="1">
      <c r="B9" s="3" t="s">
        <v>5</v>
      </c>
      <c r="C9" s="11">
        <v>43239004</v>
      </c>
    </row>
    <row r="10" spans="2:3" ht="15.75" thickBot="1">
      <c r="B10" s="3" t="s">
        <v>6</v>
      </c>
      <c r="C10" s="11">
        <v>1003471448</v>
      </c>
    </row>
    <row r="11" spans="2:3" ht="15.75" thickBot="1">
      <c r="B11" s="3" t="s">
        <v>7</v>
      </c>
      <c r="C11" s="11">
        <v>453822040</v>
      </c>
    </row>
    <row r="12" spans="2:3" ht="15.75" thickBot="1">
      <c r="B12" s="3" t="s">
        <v>8</v>
      </c>
      <c r="C12" s="11">
        <v>2210349921</v>
      </c>
    </row>
    <row r="13" spans="2:3" ht="15.75" thickBot="1">
      <c r="B13" s="3" t="s">
        <v>226</v>
      </c>
      <c r="C13" s="11">
        <v>664713384</v>
      </c>
    </row>
    <row r="14" spans="2:3" ht="15.75" thickBot="1">
      <c r="B14" s="3" t="s">
        <v>9</v>
      </c>
      <c r="C14" s="11">
        <v>150360759</v>
      </c>
    </row>
    <row r="15" spans="2:3" ht="15.75" thickBot="1">
      <c r="B15" s="17" t="s">
        <v>10</v>
      </c>
      <c r="C15" s="19">
        <f>SUM(C16:C23)</f>
        <v>195323272</v>
      </c>
    </row>
    <row r="16" spans="2:3" ht="15.75" thickBot="1">
      <c r="B16" s="3" t="s">
        <v>11</v>
      </c>
      <c r="C16" s="11">
        <v>32636383</v>
      </c>
    </row>
    <row r="17" spans="2:3" ht="15.75" thickBot="1">
      <c r="B17" s="3" t="s">
        <v>12</v>
      </c>
      <c r="C17" s="11">
        <v>80549203</v>
      </c>
    </row>
    <row r="18" spans="2:3" ht="15.75" thickBot="1">
      <c r="B18" s="3" t="s">
        <v>227</v>
      </c>
      <c r="C18" s="11">
        <v>5000</v>
      </c>
    </row>
    <row r="19" spans="2:3" ht="15.75" thickBot="1">
      <c r="B19" s="3" t="s">
        <v>13</v>
      </c>
      <c r="C19" s="11">
        <v>2865428</v>
      </c>
    </row>
    <row r="20" spans="2:3" ht="15.75" thickBot="1">
      <c r="B20" s="3" t="s">
        <v>14</v>
      </c>
      <c r="C20" s="11">
        <v>3662567</v>
      </c>
    </row>
    <row r="21" spans="2:3" ht="15.75" thickBot="1">
      <c r="B21" s="3" t="s">
        <v>15</v>
      </c>
      <c r="C21" s="11">
        <v>73388519</v>
      </c>
    </row>
    <row r="22" spans="2:3" ht="15.75" thickBot="1">
      <c r="B22" s="4" t="s">
        <v>16</v>
      </c>
      <c r="C22" s="11">
        <v>514507</v>
      </c>
    </row>
    <row r="23" spans="2:3" ht="15.75" thickBot="1">
      <c r="B23" s="3" t="s">
        <v>17</v>
      </c>
      <c r="C23" s="11">
        <v>1701665</v>
      </c>
    </row>
    <row r="24" spans="2:3" ht="15.75" thickBot="1">
      <c r="B24" s="17" t="s">
        <v>18</v>
      </c>
      <c r="C24" s="19">
        <f>SUM(C25:C33)</f>
        <v>485983575</v>
      </c>
    </row>
    <row r="25" spans="2:3" ht="15.75" thickBot="1">
      <c r="B25" s="3" t="s">
        <v>19</v>
      </c>
      <c r="C25" s="11">
        <v>70024578</v>
      </c>
    </row>
    <row r="26" spans="2:3" ht="15.75" thickBot="1">
      <c r="B26" s="3" t="s">
        <v>20</v>
      </c>
      <c r="C26" s="11">
        <v>76806201</v>
      </c>
    </row>
    <row r="27" spans="2:3" ht="15.75" thickBot="1">
      <c r="B27" s="3" t="s">
        <v>21</v>
      </c>
      <c r="C27" s="11">
        <v>48206225</v>
      </c>
    </row>
    <row r="28" spans="2:3" ht="15.75" thickBot="1">
      <c r="B28" s="3" t="s">
        <v>22</v>
      </c>
      <c r="C28" s="11">
        <v>77818153</v>
      </c>
    </row>
    <row r="29" spans="2:3" ht="15.75" thickBot="1">
      <c r="B29" s="3" t="s">
        <v>23</v>
      </c>
      <c r="C29" s="11">
        <v>48021263</v>
      </c>
    </row>
    <row r="30" spans="2:3" ht="15.75" thickBot="1">
      <c r="B30" s="3" t="s">
        <v>24</v>
      </c>
      <c r="C30" s="11">
        <v>43002638</v>
      </c>
    </row>
    <row r="31" spans="2:3" ht="15.75" thickBot="1">
      <c r="B31" s="3" t="s">
        <v>25</v>
      </c>
      <c r="C31" s="11">
        <v>13316070</v>
      </c>
    </row>
    <row r="32" spans="2:3" ht="15.75" thickBot="1">
      <c r="B32" s="3" t="s">
        <v>26</v>
      </c>
      <c r="C32" s="11">
        <v>9934165</v>
      </c>
    </row>
    <row r="33" spans="2:3" ht="15.75" thickBot="1">
      <c r="B33" s="3" t="s">
        <v>27</v>
      </c>
      <c r="C33" s="11">
        <v>98854282</v>
      </c>
    </row>
    <row r="34" spans="2:3" ht="15.75" thickBot="1">
      <c r="B34" s="17" t="s">
        <v>28</v>
      </c>
      <c r="C34" s="19">
        <f>SUM(C35:C38)</f>
        <v>29291866581</v>
      </c>
    </row>
    <row r="35" spans="2:3" ht="15.75" thickBot="1">
      <c r="B35" s="3" t="s">
        <v>29</v>
      </c>
      <c r="C35" s="11">
        <v>29014609820</v>
      </c>
    </row>
    <row r="36" spans="2:3" ht="15.75" thickBot="1">
      <c r="B36" s="3" t="s">
        <v>228</v>
      </c>
      <c r="C36" s="11">
        <v>122275696</v>
      </c>
    </row>
    <row r="37" spans="2:6" ht="15.75" thickBot="1">
      <c r="B37" s="3" t="s">
        <v>30</v>
      </c>
      <c r="C37" s="11">
        <v>15010407</v>
      </c>
      <c r="E37" s="25"/>
      <c r="F37" s="24"/>
    </row>
    <row r="38" spans="2:6" ht="15.75" thickBot="1">
      <c r="B38" s="3" t="s">
        <v>31</v>
      </c>
      <c r="C38" s="11">
        <v>139970658</v>
      </c>
      <c r="D38" s="28"/>
      <c r="E38" s="31"/>
      <c r="F38" s="24"/>
    </row>
    <row r="39" spans="2:3" ht="15.75" thickBot="1">
      <c r="B39" s="17" t="s">
        <v>229</v>
      </c>
      <c r="C39" s="19">
        <f>SUM(C40:C43)</f>
        <v>2417197</v>
      </c>
    </row>
    <row r="40" spans="2:3" ht="15.75" thickBot="1">
      <c r="B40" s="3" t="s">
        <v>230</v>
      </c>
      <c r="C40" s="11">
        <v>1941797</v>
      </c>
    </row>
    <row r="41" spans="2:3" ht="15.75" thickBot="1">
      <c r="B41" s="3" t="s">
        <v>231</v>
      </c>
      <c r="C41" s="11">
        <v>274500</v>
      </c>
    </row>
    <row r="42" spans="2:6" ht="15.75" thickBot="1">
      <c r="B42" s="3" t="s">
        <v>232</v>
      </c>
      <c r="C42" s="11">
        <v>165900</v>
      </c>
      <c r="E42" s="25"/>
      <c r="F42" s="24"/>
    </row>
    <row r="43" spans="2:6" ht="15.75" thickBot="1">
      <c r="B43" s="3" t="s">
        <v>233</v>
      </c>
      <c r="C43" s="11">
        <v>35000</v>
      </c>
      <c r="D43" s="28"/>
      <c r="E43" s="31"/>
      <c r="F43" s="24"/>
    </row>
    <row r="44" spans="2:5" ht="15.75" thickBot="1">
      <c r="B44" s="17" t="s">
        <v>32</v>
      </c>
      <c r="C44" s="19">
        <f>SUM(C45:C47)</f>
        <v>4761509067</v>
      </c>
      <c r="D44" s="27"/>
      <c r="E44" s="29"/>
    </row>
    <row r="45" spans="2:5" ht="15.75" thickBot="1">
      <c r="B45" s="3" t="s">
        <v>234</v>
      </c>
      <c r="C45" s="11">
        <v>749136007</v>
      </c>
      <c r="D45" s="46"/>
      <c r="E45" s="29"/>
    </row>
    <row r="46" spans="2:5" ht="15.75" thickBot="1">
      <c r="B46" s="3" t="s">
        <v>33</v>
      </c>
      <c r="C46" s="11">
        <v>898000000</v>
      </c>
      <c r="D46" s="27"/>
      <c r="E46" s="29"/>
    </row>
    <row r="47" spans="2:5" ht="15.75" thickBot="1">
      <c r="B47" s="3" t="s">
        <v>34</v>
      </c>
      <c r="C47" s="11">
        <v>3114373060</v>
      </c>
      <c r="D47" s="28"/>
      <c r="E47" s="30"/>
    </row>
    <row r="48" spans="2:3" ht="15.75" thickBot="1">
      <c r="B48" s="17" t="s">
        <v>35</v>
      </c>
      <c r="C48" s="19">
        <f>+C49</f>
        <v>1996500</v>
      </c>
    </row>
    <row r="49" spans="2:3" ht="15.75" thickBot="1">
      <c r="B49" s="3" t="s">
        <v>36</v>
      </c>
      <c r="C49" s="11">
        <v>1996500</v>
      </c>
    </row>
    <row r="50" spans="2:3" ht="15.75" thickBot="1">
      <c r="B50" s="18" t="s">
        <v>37</v>
      </c>
      <c r="C50" s="19">
        <f>SUM(C51:C52)</f>
        <v>9351627000</v>
      </c>
    </row>
    <row r="51" spans="2:3" ht="15.75" thickBot="1">
      <c r="B51" s="3" t="s">
        <v>38</v>
      </c>
      <c r="C51" s="11">
        <v>4886689206</v>
      </c>
    </row>
    <row r="52" spans="2:3" ht="15.75" thickBot="1">
      <c r="B52" s="3" t="s">
        <v>39</v>
      </c>
      <c r="C52" s="11">
        <v>4464937794</v>
      </c>
    </row>
    <row r="53" spans="2:3" ht="15.75" thickBot="1">
      <c r="B53" s="17" t="s">
        <v>40</v>
      </c>
      <c r="C53" s="19">
        <f>SUM(C54:C58)</f>
        <v>656644213</v>
      </c>
    </row>
    <row r="54" spans="2:3" ht="15.75" thickBot="1">
      <c r="B54" s="3" t="s">
        <v>41</v>
      </c>
      <c r="C54" s="11">
        <v>163876518</v>
      </c>
    </row>
    <row r="55" spans="2:3" ht="15.75" thickBot="1">
      <c r="B55" s="3" t="s">
        <v>42</v>
      </c>
      <c r="C55" s="11">
        <v>216600769</v>
      </c>
    </row>
    <row r="56" spans="2:3" ht="15.75" thickBot="1">
      <c r="B56" s="3" t="s">
        <v>43</v>
      </c>
      <c r="C56" s="11">
        <v>5378400</v>
      </c>
    </row>
    <row r="57" spans="2:3" ht="15.75" thickBot="1">
      <c r="B57" s="3" t="s">
        <v>44</v>
      </c>
      <c r="C57" s="11">
        <v>4800000</v>
      </c>
    </row>
    <row r="58" spans="2:3" ht="15.75" thickBot="1">
      <c r="B58" s="3" t="s">
        <v>45</v>
      </c>
      <c r="C58" s="11">
        <v>265988526</v>
      </c>
    </row>
  </sheetData>
  <sheetProtection/>
  <mergeCells count="3">
    <mergeCell ref="B1:C1"/>
    <mergeCell ref="B3:C3"/>
    <mergeCell ref="B4:C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4:E20"/>
  <sheetViews>
    <sheetView zoomScalePageLayoutView="0" workbookViewId="0" topLeftCell="A1">
      <selection activeCell="B12" sqref="B12"/>
    </sheetView>
  </sheetViews>
  <sheetFormatPr defaultColWidth="11.421875" defaultRowHeight="15"/>
  <cols>
    <col min="2" max="2" width="37.8515625" style="0" customWidth="1"/>
    <col min="3" max="3" width="21.140625" style="0" customWidth="1"/>
    <col min="4" max="4" width="17.57421875" style="0" customWidth="1"/>
  </cols>
  <sheetData>
    <row r="3" ht="15.75" thickBot="1"/>
    <row r="4" spans="2:3" ht="15.75" thickBot="1">
      <c r="B4" s="56" t="s">
        <v>64</v>
      </c>
      <c r="C4" s="57"/>
    </row>
    <row r="5" spans="2:3" ht="15.75" thickBot="1">
      <c r="B5" s="56" t="s">
        <v>235</v>
      </c>
      <c r="C5" s="57"/>
    </row>
    <row r="6" spans="2:3" ht="15.75" thickBot="1">
      <c r="B6" s="1" t="s">
        <v>47</v>
      </c>
      <c r="C6" s="2" t="s">
        <v>1</v>
      </c>
    </row>
    <row r="7" spans="2:5" ht="15.75" thickBot="1">
      <c r="B7" s="9" t="s">
        <v>2</v>
      </c>
      <c r="C7" s="12">
        <f>SUM(C8:C16)</f>
        <v>53121890110</v>
      </c>
      <c r="D7" s="26"/>
      <c r="E7" s="5"/>
    </row>
    <row r="8" spans="2:3" ht="15.75" thickBot="1">
      <c r="B8" s="3" t="s">
        <v>48</v>
      </c>
      <c r="C8" s="15">
        <v>24907806812</v>
      </c>
    </row>
    <row r="9" spans="2:5" ht="15.75" thickBot="1">
      <c r="B9" s="3" t="s">
        <v>49</v>
      </c>
      <c r="C9" s="15">
        <v>310000000</v>
      </c>
      <c r="E9" s="5"/>
    </row>
    <row r="10" spans="2:3" ht="15.75" thickBot="1">
      <c r="B10" s="3" t="s">
        <v>50</v>
      </c>
      <c r="C10" s="15">
        <v>1321503084</v>
      </c>
    </row>
    <row r="11" spans="2:3" ht="15.75" thickBot="1">
      <c r="B11" s="3" t="s">
        <v>236</v>
      </c>
      <c r="C11" s="15">
        <v>8597423226</v>
      </c>
    </row>
    <row r="12" spans="2:3" ht="23.25" thickBot="1">
      <c r="B12" s="3" t="s">
        <v>237</v>
      </c>
      <c r="C12" s="15">
        <v>2516593883</v>
      </c>
    </row>
    <row r="13" spans="2:3" ht="15.75" thickBot="1">
      <c r="B13" s="3" t="s">
        <v>65</v>
      </c>
      <c r="C13" s="15">
        <v>666159</v>
      </c>
    </row>
    <row r="14" spans="2:3" ht="15.75" thickBot="1">
      <c r="B14" s="3" t="s">
        <v>238</v>
      </c>
      <c r="C14" s="15">
        <v>9351627000</v>
      </c>
    </row>
    <row r="15" spans="2:3" ht="15.75" thickBot="1">
      <c r="B15" s="3" t="s">
        <v>239</v>
      </c>
      <c r="C15" s="15">
        <v>1745452112</v>
      </c>
    </row>
    <row r="16" spans="2:3" ht="15.75" thickBot="1">
      <c r="B16" s="3" t="s">
        <v>51</v>
      </c>
      <c r="C16" s="15">
        <v>4370817834</v>
      </c>
    </row>
    <row r="17" spans="2:3" ht="15.75" hidden="1" thickBot="1">
      <c r="B17" s="3" t="s">
        <v>65</v>
      </c>
      <c r="C17" s="15">
        <v>231429539</v>
      </c>
    </row>
    <row r="18" spans="2:3" ht="23.25" hidden="1" thickBot="1">
      <c r="B18" s="3" t="s">
        <v>61</v>
      </c>
      <c r="C18" s="15">
        <v>2037405718</v>
      </c>
    </row>
    <row r="19" spans="2:3" ht="23.25" hidden="1" thickBot="1">
      <c r="B19" s="3" t="s">
        <v>62</v>
      </c>
      <c r="C19" s="15">
        <v>44155594</v>
      </c>
    </row>
    <row r="20" spans="2:3" ht="15.75" hidden="1" thickBot="1">
      <c r="B20" s="3" t="s">
        <v>63</v>
      </c>
      <c r="C20" s="15">
        <v>7391387033</v>
      </c>
    </row>
  </sheetData>
  <sheetProtection/>
  <mergeCells count="2">
    <mergeCell ref="B5:C5"/>
    <mergeCell ref="B4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4:C11"/>
  <sheetViews>
    <sheetView zoomScalePageLayoutView="0" workbookViewId="0" topLeftCell="A1">
      <selection activeCell="B14" sqref="B14"/>
    </sheetView>
  </sheetViews>
  <sheetFormatPr defaultColWidth="11.421875" defaultRowHeight="15"/>
  <cols>
    <col min="2" max="2" width="55.7109375" style="0" bestFit="1" customWidth="1"/>
    <col min="3" max="3" width="16.421875" style="0" bestFit="1" customWidth="1"/>
  </cols>
  <sheetData>
    <row r="3" ht="15.75" thickBot="1"/>
    <row r="4" spans="2:3" ht="15.75" thickBot="1">
      <c r="B4" s="56" t="s">
        <v>64</v>
      </c>
      <c r="C4" s="57"/>
    </row>
    <row r="5" spans="2:3" ht="15.75" thickBot="1">
      <c r="B5" s="56" t="s">
        <v>235</v>
      </c>
      <c r="C5" s="57"/>
    </row>
    <row r="6" spans="2:3" ht="15.75" thickBot="1">
      <c r="B6" s="8" t="s">
        <v>52</v>
      </c>
      <c r="C6" s="16" t="s">
        <v>1</v>
      </c>
    </row>
    <row r="7" spans="2:3" ht="15.75" thickBot="1">
      <c r="B7" s="9" t="s">
        <v>2</v>
      </c>
      <c r="C7" s="12">
        <f>SUM(C8:C11)</f>
        <v>53121890110</v>
      </c>
    </row>
    <row r="8" spans="2:3" ht="15.75" thickBot="1">
      <c r="B8" s="3" t="s">
        <v>53</v>
      </c>
      <c r="C8" s="11">
        <v>10262995370.23</v>
      </c>
    </row>
    <row r="9" spans="2:3" ht="15.75" thickBot="1">
      <c r="B9" s="3" t="s">
        <v>54</v>
      </c>
      <c r="C9" s="11">
        <v>30358810573.74</v>
      </c>
    </row>
    <row r="10" spans="2:3" ht="15.75" thickBot="1">
      <c r="B10" s="3" t="s">
        <v>55</v>
      </c>
      <c r="C10" s="11">
        <v>2491812953.48</v>
      </c>
    </row>
    <row r="11" spans="2:3" ht="15.75" thickBot="1">
      <c r="B11" s="3" t="s">
        <v>56</v>
      </c>
      <c r="C11" s="11">
        <v>10008271212.55</v>
      </c>
    </row>
  </sheetData>
  <sheetProtection/>
  <mergeCells count="2">
    <mergeCell ref="B4:C4"/>
    <mergeCell ref="B5:C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4:C11"/>
  <sheetViews>
    <sheetView zoomScalePageLayoutView="0" workbookViewId="0" topLeftCell="A1">
      <selection activeCell="B14" sqref="B14"/>
    </sheetView>
  </sheetViews>
  <sheetFormatPr defaultColWidth="11.421875" defaultRowHeight="15"/>
  <cols>
    <col min="2" max="2" width="55.7109375" style="0" bestFit="1" customWidth="1"/>
    <col min="3" max="3" width="18.28125" style="0" bestFit="1" customWidth="1"/>
    <col min="5" max="5" width="14.57421875" style="0" customWidth="1"/>
  </cols>
  <sheetData>
    <row r="3" ht="15.75" thickBot="1"/>
    <row r="4" spans="2:3" ht="15.75" thickBot="1">
      <c r="B4" s="56" t="s">
        <v>64</v>
      </c>
      <c r="C4" s="57"/>
    </row>
    <row r="5" spans="2:3" ht="15.75" thickBot="1">
      <c r="B5" s="56" t="s">
        <v>235</v>
      </c>
      <c r="C5" s="57"/>
    </row>
    <row r="6" spans="2:3" ht="15.75" thickBot="1">
      <c r="B6" s="8" t="s">
        <v>57</v>
      </c>
      <c r="C6" s="16" t="s">
        <v>1</v>
      </c>
    </row>
    <row r="7" spans="2:3" ht="15.75" thickBot="1">
      <c r="B7" s="10" t="s">
        <v>2</v>
      </c>
      <c r="C7" s="13">
        <f>C8+C9+C10+C11</f>
        <v>53121890110</v>
      </c>
    </row>
    <row r="8" spans="2:3" ht="15.75" thickBot="1">
      <c r="B8" s="3" t="s">
        <v>58</v>
      </c>
      <c r="C8" s="11">
        <v>9055829552</v>
      </c>
    </row>
    <row r="9" spans="2:3" ht="15.75" thickBot="1">
      <c r="B9" s="3" t="s">
        <v>59</v>
      </c>
      <c r="C9" s="11">
        <v>34057789345</v>
      </c>
    </row>
    <row r="10" spans="2:3" ht="15.75" thickBot="1">
      <c r="B10" s="3" t="s">
        <v>60</v>
      </c>
      <c r="C10" s="11">
        <v>656644213</v>
      </c>
    </row>
    <row r="11" spans="2:3" ht="15.75" thickBot="1">
      <c r="B11" s="3" t="s">
        <v>37</v>
      </c>
      <c r="C11" s="11">
        <v>9351627000</v>
      </c>
    </row>
  </sheetData>
  <sheetProtection/>
  <mergeCells count="2">
    <mergeCell ref="B4:C4"/>
    <mergeCell ref="B5:C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4:C13"/>
  <sheetViews>
    <sheetView zoomScalePageLayoutView="0" workbookViewId="0" topLeftCell="A1">
      <selection activeCell="B23" sqref="B23"/>
    </sheetView>
  </sheetViews>
  <sheetFormatPr defaultColWidth="11.421875" defaultRowHeight="15"/>
  <cols>
    <col min="2" max="2" width="59.8515625" style="0" customWidth="1"/>
    <col min="3" max="3" width="15.28125" style="0" bestFit="1" customWidth="1"/>
  </cols>
  <sheetData>
    <row r="3" ht="15.75" thickBot="1"/>
    <row r="4" spans="2:3" ht="15.75" thickBot="1">
      <c r="B4" s="56" t="s">
        <v>64</v>
      </c>
      <c r="C4" s="57"/>
    </row>
    <row r="5" spans="2:3" ht="15.75" thickBot="1">
      <c r="B5" s="56" t="s">
        <v>235</v>
      </c>
      <c r="C5" s="57"/>
    </row>
    <row r="6" spans="2:3" ht="15.75" thickBot="1">
      <c r="B6" s="56" t="s">
        <v>245</v>
      </c>
      <c r="C6" s="57"/>
    </row>
    <row r="7" spans="2:3" ht="15.75" thickBot="1">
      <c r="B7" s="8" t="s">
        <v>241</v>
      </c>
      <c r="C7" s="16" t="s">
        <v>1</v>
      </c>
    </row>
    <row r="8" spans="2:3" ht="15.75" thickBot="1">
      <c r="B8" s="10" t="s">
        <v>2</v>
      </c>
      <c r="C8" s="13">
        <f>SUM(C9:C13)</f>
        <v>53121890110</v>
      </c>
    </row>
    <row r="9" spans="2:3" ht="15.75" thickBot="1">
      <c r="B9" s="22" t="s">
        <v>240</v>
      </c>
      <c r="C9" s="11">
        <v>34058634513.66</v>
      </c>
    </row>
    <row r="10" spans="2:3" ht="15.75" thickBot="1">
      <c r="B10" s="23" t="s">
        <v>199</v>
      </c>
      <c r="C10" s="11">
        <v>4886689206</v>
      </c>
    </row>
    <row r="11" spans="2:3" ht="15.75" thickBot="1">
      <c r="B11" s="23" t="s">
        <v>242</v>
      </c>
      <c r="C11" s="11">
        <v>3256926807.56</v>
      </c>
    </row>
    <row r="12" spans="2:3" ht="15.75" thickBot="1">
      <c r="B12" s="23" t="s">
        <v>243</v>
      </c>
      <c r="C12" s="11">
        <v>4955981639.69</v>
      </c>
    </row>
    <row r="13" spans="2:3" ht="15.75" thickBot="1">
      <c r="B13" s="23" t="s">
        <v>244</v>
      </c>
      <c r="C13" s="11">
        <v>5963657943.09</v>
      </c>
    </row>
  </sheetData>
  <sheetProtection/>
  <mergeCells count="3"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A27"/>
  <sheetViews>
    <sheetView zoomScalePageLayoutView="0" workbookViewId="0" topLeftCell="A1">
      <selection activeCell="A16" sqref="A16"/>
    </sheetView>
  </sheetViews>
  <sheetFormatPr defaultColWidth="78.7109375" defaultRowHeight="15"/>
  <cols>
    <col min="1" max="1" width="86.140625" style="0" customWidth="1"/>
  </cols>
  <sheetData>
    <row r="2" ht="15.75" thickBot="1"/>
    <row r="3" ht="15.75" thickBot="1">
      <c r="A3" s="6" t="s">
        <v>64</v>
      </c>
    </row>
    <row r="4" ht="15.75" thickBot="1">
      <c r="A4" s="7" t="s">
        <v>235</v>
      </c>
    </row>
    <row r="5" ht="18.75" customHeight="1" thickBot="1">
      <c r="A5" s="7" t="s">
        <v>67</v>
      </c>
    </row>
    <row r="6" ht="18.75" customHeight="1" thickBot="1">
      <c r="A6" s="7" t="s">
        <v>246</v>
      </c>
    </row>
    <row r="7" ht="18.75" customHeight="1" thickBot="1">
      <c r="A7" s="43" t="s">
        <v>247</v>
      </c>
    </row>
    <row r="8" ht="18.75" customHeight="1" thickBot="1">
      <c r="A8" s="43" t="s">
        <v>248</v>
      </c>
    </row>
    <row r="9" ht="18.75" customHeight="1" thickBot="1">
      <c r="A9" s="43" t="s">
        <v>249</v>
      </c>
    </row>
    <row r="10" ht="18.75" customHeight="1" thickBot="1">
      <c r="A10" s="43" t="s">
        <v>250</v>
      </c>
    </row>
    <row r="11" ht="18.75" customHeight="1" thickBot="1">
      <c r="A11" s="43" t="s">
        <v>251</v>
      </c>
    </row>
    <row r="12" ht="18.75" customHeight="1" thickBot="1">
      <c r="A12" s="43" t="s">
        <v>252</v>
      </c>
    </row>
    <row r="13" ht="18.75" customHeight="1" thickBot="1">
      <c r="A13" s="43" t="s">
        <v>253</v>
      </c>
    </row>
    <row r="14" ht="18.75" customHeight="1" thickBot="1">
      <c r="A14" s="43" t="s">
        <v>254</v>
      </c>
    </row>
    <row r="15" ht="18.75" customHeight="1" thickBot="1">
      <c r="A15" s="43" t="s">
        <v>255</v>
      </c>
    </row>
    <row r="16" ht="18.75" customHeight="1" thickBot="1">
      <c r="A16" s="43" t="s">
        <v>256</v>
      </c>
    </row>
    <row r="17" ht="18.75" customHeight="1" thickBot="1">
      <c r="A17" s="43" t="s">
        <v>257</v>
      </c>
    </row>
    <row r="18" ht="18.75" customHeight="1" thickBot="1">
      <c r="A18" s="43" t="s">
        <v>258</v>
      </c>
    </row>
    <row r="19" ht="18.75" customHeight="1" thickBot="1">
      <c r="A19" s="43" t="s">
        <v>259</v>
      </c>
    </row>
    <row r="20" ht="18.75" customHeight="1" thickBot="1">
      <c r="A20" s="43" t="s">
        <v>260</v>
      </c>
    </row>
    <row r="21" ht="18.75" customHeight="1" thickBot="1">
      <c r="A21" s="43" t="s">
        <v>261</v>
      </c>
    </row>
    <row r="22" ht="18.75" customHeight="1" thickBot="1">
      <c r="A22" s="43" t="s">
        <v>262</v>
      </c>
    </row>
    <row r="23" ht="18.75" customHeight="1" thickBot="1">
      <c r="A23" s="43" t="s">
        <v>263</v>
      </c>
    </row>
    <row r="24" ht="18.75" customHeight="1" thickBot="1">
      <c r="A24" s="43" t="s">
        <v>264</v>
      </c>
    </row>
    <row r="25" ht="18.75" customHeight="1" thickBot="1">
      <c r="A25" s="43" t="s">
        <v>265</v>
      </c>
    </row>
    <row r="26" ht="18.75" customHeight="1" thickBot="1">
      <c r="A26" s="43" t="s">
        <v>266</v>
      </c>
    </row>
    <row r="27" ht="18.75" customHeight="1">
      <c r="A27" s="43" t="s">
        <v>267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213"/>
  <sheetViews>
    <sheetView zoomScalePageLayoutView="0" workbookViewId="0" topLeftCell="A1">
      <selection activeCell="B4" sqref="B4:H4"/>
    </sheetView>
  </sheetViews>
  <sheetFormatPr defaultColWidth="11.421875" defaultRowHeight="15"/>
  <cols>
    <col min="2" max="2" width="19.140625" style="0" customWidth="1"/>
    <col min="3" max="3" width="25.140625" style="0" customWidth="1"/>
    <col min="7" max="7" width="15.140625" style="46" bestFit="1" customWidth="1"/>
    <col min="8" max="8" width="15.28125" style="0" customWidth="1"/>
  </cols>
  <sheetData>
    <row r="1" ht="15"/>
    <row r="2" spans="2:9" ht="15.75">
      <c r="B2" s="68" t="s">
        <v>64</v>
      </c>
      <c r="C2" s="68"/>
      <c r="D2" s="68"/>
      <c r="E2" s="68"/>
      <c r="F2" s="68"/>
      <c r="G2" s="68"/>
      <c r="H2" s="68"/>
      <c r="I2" s="32"/>
    </row>
    <row r="3" spans="2:9" ht="15.75">
      <c r="B3" s="68" t="s">
        <v>235</v>
      </c>
      <c r="C3" s="68"/>
      <c r="D3" s="68"/>
      <c r="E3" s="68"/>
      <c r="F3" s="68"/>
      <c r="G3" s="68"/>
      <c r="H3" s="68"/>
      <c r="I3" s="32"/>
    </row>
    <row r="4" spans="2:9" ht="16.5" thickBot="1">
      <c r="B4" s="69" t="s">
        <v>66</v>
      </c>
      <c r="C4" s="69"/>
      <c r="D4" s="69"/>
      <c r="E4" s="69"/>
      <c r="F4" s="69"/>
      <c r="G4" s="69"/>
      <c r="H4" s="69"/>
      <c r="I4" s="32"/>
    </row>
    <row r="5" spans="2:12" ht="15.75" thickBot="1">
      <c r="B5" s="65" t="s">
        <v>68</v>
      </c>
      <c r="C5" s="66"/>
      <c r="D5" s="65" t="s">
        <v>69</v>
      </c>
      <c r="E5" s="67"/>
      <c r="F5" s="73" t="s">
        <v>70</v>
      </c>
      <c r="G5" s="74"/>
      <c r="H5" s="75"/>
      <c r="J5" s="33"/>
      <c r="K5" s="33"/>
      <c r="L5" s="34"/>
    </row>
    <row r="6" spans="2:8" ht="15.75" thickBot="1">
      <c r="B6" s="70"/>
      <c r="C6" s="71"/>
      <c r="D6" s="70"/>
      <c r="E6" s="72"/>
      <c r="F6" s="39" t="s">
        <v>71</v>
      </c>
      <c r="G6" s="44"/>
      <c r="H6" s="41" t="s">
        <v>72</v>
      </c>
    </row>
    <row r="7" spans="2:8" ht="15">
      <c r="B7" s="65" t="s">
        <v>74</v>
      </c>
      <c r="C7" s="66"/>
      <c r="D7" s="65">
        <v>1</v>
      </c>
      <c r="E7" s="67"/>
      <c r="F7" s="38" t="s">
        <v>73</v>
      </c>
      <c r="G7" s="50">
        <f>172896/12</f>
        <v>14408</v>
      </c>
      <c r="H7" s="47">
        <f>+G7</f>
        <v>14408</v>
      </c>
    </row>
    <row r="8" spans="2:8" ht="15">
      <c r="B8" s="58" t="s">
        <v>158</v>
      </c>
      <c r="C8" s="59"/>
      <c r="D8" s="58">
        <v>102</v>
      </c>
      <c r="E8" s="60"/>
      <c r="F8" s="37" t="s">
        <v>73</v>
      </c>
      <c r="G8" s="45">
        <f>17635392/D8/12</f>
        <v>14408</v>
      </c>
      <c r="H8" s="48">
        <f>+G8</f>
        <v>14408</v>
      </c>
    </row>
    <row r="9" spans="2:8" ht="15">
      <c r="B9" s="58" t="s">
        <v>184</v>
      </c>
      <c r="C9" s="59"/>
      <c r="D9" s="58">
        <v>21</v>
      </c>
      <c r="E9" s="60"/>
      <c r="F9" s="37" t="s">
        <v>73</v>
      </c>
      <c r="G9" s="45">
        <f>2980908/D9/12</f>
        <v>11829</v>
      </c>
      <c r="H9" s="48">
        <f aca="true" t="shared" si="0" ref="H9:H78">+G9</f>
        <v>11829</v>
      </c>
    </row>
    <row r="10" spans="2:8" ht="15">
      <c r="B10" s="58" t="s">
        <v>185</v>
      </c>
      <c r="C10" s="59"/>
      <c r="D10" s="58">
        <v>4</v>
      </c>
      <c r="E10" s="60"/>
      <c r="F10" s="37" t="s">
        <v>73</v>
      </c>
      <c r="G10" s="45">
        <f>567792/D10/12</f>
        <v>11829</v>
      </c>
      <c r="H10" s="48">
        <f t="shared" si="0"/>
        <v>11829</v>
      </c>
    </row>
    <row r="11" spans="2:8" ht="15">
      <c r="B11" s="58" t="s">
        <v>200</v>
      </c>
      <c r="C11" s="59"/>
      <c r="D11" s="58">
        <v>9</v>
      </c>
      <c r="E11" s="60"/>
      <c r="F11" s="52" t="s">
        <v>73</v>
      </c>
      <c r="G11" s="45">
        <f>1657908/D11/12</f>
        <v>15351</v>
      </c>
      <c r="H11" s="48">
        <f>+G11</f>
        <v>15351</v>
      </c>
    </row>
    <row r="12" spans="2:8" ht="15">
      <c r="B12" s="58" t="s">
        <v>75</v>
      </c>
      <c r="C12" s="59"/>
      <c r="D12" s="58">
        <v>66</v>
      </c>
      <c r="E12" s="60"/>
      <c r="F12" s="37" t="s">
        <v>73</v>
      </c>
      <c r="G12" s="45">
        <f>12157992/D12/12</f>
        <v>15351</v>
      </c>
      <c r="H12" s="48">
        <f t="shared" si="0"/>
        <v>15351</v>
      </c>
    </row>
    <row r="13" spans="2:8" ht="15">
      <c r="B13" s="58" t="s">
        <v>76</v>
      </c>
      <c r="C13" s="59"/>
      <c r="D13" s="58">
        <v>2</v>
      </c>
      <c r="E13" s="60"/>
      <c r="F13" s="37" t="s">
        <v>73</v>
      </c>
      <c r="G13" s="45">
        <f>368424/D13/12</f>
        <v>15351</v>
      </c>
      <c r="H13" s="48">
        <f t="shared" si="0"/>
        <v>15351</v>
      </c>
    </row>
    <row r="14" spans="2:8" ht="15">
      <c r="B14" s="58" t="s">
        <v>77</v>
      </c>
      <c r="C14" s="59"/>
      <c r="D14" s="58">
        <v>31</v>
      </c>
      <c r="E14" s="60"/>
      <c r="F14" s="37" t="s">
        <v>73</v>
      </c>
      <c r="G14" s="45">
        <f>5710572/D14/12</f>
        <v>15351</v>
      </c>
      <c r="H14" s="48">
        <f t="shared" si="0"/>
        <v>15351</v>
      </c>
    </row>
    <row r="15" spans="2:8" ht="15">
      <c r="B15" s="58" t="s">
        <v>78</v>
      </c>
      <c r="C15" s="59"/>
      <c r="D15" s="58">
        <v>103</v>
      </c>
      <c r="E15" s="60"/>
      <c r="F15" s="37" t="s">
        <v>73</v>
      </c>
      <c r="G15" s="45">
        <f>18973836/D15/12</f>
        <v>15351</v>
      </c>
      <c r="H15" s="48">
        <f t="shared" si="0"/>
        <v>15351</v>
      </c>
    </row>
    <row r="16" spans="2:8" ht="15">
      <c r="B16" s="58" t="s">
        <v>79</v>
      </c>
      <c r="C16" s="59"/>
      <c r="D16" s="58">
        <v>2</v>
      </c>
      <c r="E16" s="60"/>
      <c r="F16" s="37" t="s">
        <v>73</v>
      </c>
      <c r="G16" s="45">
        <f>368424/D16/12</f>
        <v>15351</v>
      </c>
      <c r="H16" s="48">
        <f t="shared" si="0"/>
        <v>15351</v>
      </c>
    </row>
    <row r="17" spans="2:8" ht="15">
      <c r="B17" s="58" t="s">
        <v>201</v>
      </c>
      <c r="C17" s="59"/>
      <c r="D17" s="58">
        <v>49</v>
      </c>
      <c r="E17" s="60"/>
      <c r="F17" s="37" t="s">
        <v>73</v>
      </c>
      <c r="G17" s="45">
        <f>8635956/D17/12</f>
        <v>14687</v>
      </c>
      <c r="H17" s="48">
        <f t="shared" si="0"/>
        <v>14687</v>
      </c>
    </row>
    <row r="18" spans="2:8" ht="15">
      <c r="B18" s="58" t="s">
        <v>201</v>
      </c>
      <c r="C18" s="59"/>
      <c r="D18" s="58">
        <v>4</v>
      </c>
      <c r="E18" s="60"/>
      <c r="F18" s="37" t="s">
        <v>73</v>
      </c>
      <c r="G18" s="45">
        <f>704976/D18/12</f>
        <v>14687</v>
      </c>
      <c r="H18" s="48">
        <f t="shared" si="0"/>
        <v>14687</v>
      </c>
    </row>
    <row r="19" spans="2:8" ht="15">
      <c r="B19" s="58" t="s">
        <v>202</v>
      </c>
      <c r="C19" s="59"/>
      <c r="D19" s="58">
        <v>2</v>
      </c>
      <c r="E19" s="60"/>
      <c r="F19" s="42" t="s">
        <v>73</v>
      </c>
      <c r="G19" s="45">
        <f>352488/D19/12</f>
        <v>14687</v>
      </c>
      <c r="H19" s="48">
        <f t="shared" si="0"/>
        <v>14687</v>
      </c>
    </row>
    <row r="20" spans="2:8" ht="15">
      <c r="B20" s="58" t="s">
        <v>190</v>
      </c>
      <c r="C20" s="59"/>
      <c r="D20" s="58">
        <v>26</v>
      </c>
      <c r="E20" s="60"/>
      <c r="F20" s="42" t="s">
        <v>73</v>
      </c>
      <c r="G20" s="45">
        <f>4415112/D20/12</f>
        <v>14151</v>
      </c>
      <c r="H20" s="48">
        <f t="shared" si="0"/>
        <v>14151</v>
      </c>
    </row>
    <row r="21" spans="2:8" ht="15">
      <c r="B21" s="58" t="s">
        <v>191</v>
      </c>
      <c r="C21" s="60"/>
      <c r="D21" s="58">
        <v>8</v>
      </c>
      <c r="E21" s="60"/>
      <c r="F21" s="54" t="s">
        <v>73</v>
      </c>
      <c r="G21" s="45">
        <f>1358496/D21/12</f>
        <v>14151</v>
      </c>
      <c r="H21" s="48">
        <f t="shared" si="0"/>
        <v>14151</v>
      </c>
    </row>
    <row r="22" spans="2:8" ht="15">
      <c r="B22" s="58" t="s">
        <v>268</v>
      </c>
      <c r="C22" s="59"/>
      <c r="D22" s="58">
        <v>8</v>
      </c>
      <c r="E22" s="60"/>
      <c r="F22" s="54" t="s">
        <v>73</v>
      </c>
      <c r="G22" s="45">
        <f>1669440/D22/12</f>
        <v>17390</v>
      </c>
      <c r="H22" s="48">
        <f>+G22</f>
        <v>17390</v>
      </c>
    </row>
    <row r="23" spans="2:8" ht="15">
      <c r="B23" s="58" t="s">
        <v>80</v>
      </c>
      <c r="C23" s="59"/>
      <c r="D23" s="58">
        <v>9</v>
      </c>
      <c r="E23" s="60"/>
      <c r="F23" s="37" t="s">
        <v>73</v>
      </c>
      <c r="G23" s="45">
        <f>1878120/D23/12</f>
        <v>17390</v>
      </c>
      <c r="H23" s="48">
        <f t="shared" si="0"/>
        <v>17390</v>
      </c>
    </row>
    <row r="24" spans="2:8" ht="15">
      <c r="B24" s="58" t="s">
        <v>269</v>
      </c>
      <c r="C24" s="59"/>
      <c r="D24" s="58">
        <v>2</v>
      </c>
      <c r="E24" s="60"/>
      <c r="F24" s="37" t="s">
        <v>73</v>
      </c>
      <c r="G24" s="45">
        <f>417360/D24/12</f>
        <v>17390</v>
      </c>
      <c r="H24" s="48">
        <f t="shared" si="0"/>
        <v>17390</v>
      </c>
    </row>
    <row r="25" spans="2:8" ht="15">
      <c r="B25" s="58" t="s">
        <v>192</v>
      </c>
      <c r="C25" s="59"/>
      <c r="D25" s="58">
        <v>2</v>
      </c>
      <c r="E25" s="60"/>
      <c r="F25" s="37" t="s">
        <v>73</v>
      </c>
      <c r="G25" s="45">
        <f>417360/D25/12</f>
        <v>17390</v>
      </c>
      <c r="H25" s="48">
        <f t="shared" si="0"/>
        <v>17390</v>
      </c>
    </row>
    <row r="26" spans="2:8" ht="15">
      <c r="B26" s="58" t="s">
        <v>81</v>
      </c>
      <c r="C26" s="59"/>
      <c r="D26" s="58">
        <v>82</v>
      </c>
      <c r="E26" s="60"/>
      <c r="F26" s="37" t="s">
        <v>73</v>
      </c>
      <c r="G26" s="45">
        <f>17111760/D26/12</f>
        <v>17390</v>
      </c>
      <c r="H26" s="48">
        <f t="shared" si="0"/>
        <v>17390</v>
      </c>
    </row>
    <row r="27" spans="2:8" ht="15">
      <c r="B27" s="58" t="s">
        <v>270</v>
      </c>
      <c r="C27" s="59"/>
      <c r="D27" s="58">
        <v>1</v>
      </c>
      <c r="E27" s="60"/>
      <c r="F27" s="54" t="s">
        <v>73</v>
      </c>
      <c r="G27" s="45">
        <f>208680/D27/12</f>
        <v>17390</v>
      </c>
      <c r="H27" s="48">
        <f>+G27</f>
        <v>17390</v>
      </c>
    </row>
    <row r="28" spans="2:8" ht="15">
      <c r="B28" s="58" t="s">
        <v>271</v>
      </c>
      <c r="C28" s="59"/>
      <c r="D28" s="58">
        <v>19</v>
      </c>
      <c r="E28" s="60"/>
      <c r="F28" s="37" t="s">
        <v>73</v>
      </c>
      <c r="G28" s="45">
        <f>3964920/D28/12</f>
        <v>17390</v>
      </c>
      <c r="H28" s="48">
        <f t="shared" si="0"/>
        <v>17390</v>
      </c>
    </row>
    <row r="29" spans="2:8" ht="15">
      <c r="B29" s="58" t="s">
        <v>272</v>
      </c>
      <c r="C29" s="59"/>
      <c r="D29" s="58">
        <v>2</v>
      </c>
      <c r="E29" s="60"/>
      <c r="F29" s="37" t="s">
        <v>73</v>
      </c>
      <c r="G29" s="45">
        <f>417360/D29/12</f>
        <v>17390</v>
      </c>
      <c r="H29" s="48">
        <f t="shared" si="0"/>
        <v>17390</v>
      </c>
    </row>
    <row r="30" spans="2:8" ht="15">
      <c r="B30" s="58" t="s">
        <v>273</v>
      </c>
      <c r="C30" s="59"/>
      <c r="D30" s="58">
        <v>1</v>
      </c>
      <c r="E30" s="60"/>
      <c r="F30" s="37" t="s">
        <v>73</v>
      </c>
      <c r="G30" s="45">
        <f>208680/D30/12</f>
        <v>17390</v>
      </c>
      <c r="H30" s="48">
        <f t="shared" si="0"/>
        <v>17390</v>
      </c>
    </row>
    <row r="31" spans="2:8" ht="15">
      <c r="B31" s="58" t="s">
        <v>159</v>
      </c>
      <c r="C31" s="59"/>
      <c r="D31" s="58">
        <v>22</v>
      </c>
      <c r="E31" s="60"/>
      <c r="F31" s="37" t="s">
        <v>73</v>
      </c>
      <c r="G31" s="45">
        <f>4327752/D31/12</f>
        <v>16393</v>
      </c>
      <c r="H31" s="48">
        <f t="shared" si="0"/>
        <v>16393</v>
      </c>
    </row>
    <row r="32" spans="2:8" ht="15">
      <c r="B32" s="58" t="s">
        <v>274</v>
      </c>
      <c r="C32" s="59"/>
      <c r="D32" s="58">
        <v>3</v>
      </c>
      <c r="E32" s="60"/>
      <c r="F32" s="37" t="s">
        <v>73</v>
      </c>
      <c r="G32" s="45">
        <f>626040/D32/12</f>
        <v>17390</v>
      </c>
      <c r="H32" s="48">
        <f t="shared" si="0"/>
        <v>17390</v>
      </c>
    </row>
    <row r="33" spans="2:8" ht="15">
      <c r="B33" s="58" t="s">
        <v>160</v>
      </c>
      <c r="C33" s="59"/>
      <c r="D33" s="58">
        <v>3</v>
      </c>
      <c r="E33" s="60"/>
      <c r="F33" s="37" t="s">
        <v>73</v>
      </c>
      <c r="G33" s="45">
        <f>626040/D33/12</f>
        <v>17390</v>
      </c>
      <c r="H33" s="48">
        <f t="shared" si="0"/>
        <v>17390</v>
      </c>
    </row>
    <row r="34" spans="2:8" ht="15">
      <c r="B34" s="58" t="s">
        <v>193</v>
      </c>
      <c r="C34" s="59"/>
      <c r="D34" s="58">
        <v>5</v>
      </c>
      <c r="E34" s="60"/>
      <c r="F34" s="42" t="s">
        <v>73</v>
      </c>
      <c r="G34" s="45">
        <f>856560/D34/12</f>
        <v>14276</v>
      </c>
      <c r="H34" s="48">
        <f t="shared" si="0"/>
        <v>14276</v>
      </c>
    </row>
    <row r="35" spans="2:8" ht="15">
      <c r="B35" s="58" t="s">
        <v>194</v>
      </c>
      <c r="C35" s="59"/>
      <c r="D35" s="58">
        <v>7</v>
      </c>
      <c r="E35" s="60"/>
      <c r="F35" s="42" t="s">
        <v>73</v>
      </c>
      <c r="G35" s="45">
        <f>1345932/D35/12</f>
        <v>16023</v>
      </c>
      <c r="H35" s="48">
        <f t="shared" si="0"/>
        <v>16023</v>
      </c>
    </row>
    <row r="36" spans="2:8" ht="15">
      <c r="B36" s="58" t="s">
        <v>195</v>
      </c>
      <c r="C36" s="59"/>
      <c r="D36" s="58">
        <v>10</v>
      </c>
      <c r="E36" s="60"/>
      <c r="F36" s="42" t="s">
        <v>73</v>
      </c>
      <c r="G36" s="45">
        <f>1922760/D36/12</f>
        <v>16023</v>
      </c>
      <c r="H36" s="48">
        <f t="shared" si="0"/>
        <v>16023</v>
      </c>
    </row>
    <row r="37" spans="2:8" ht="15">
      <c r="B37" s="58" t="s">
        <v>275</v>
      </c>
      <c r="C37" s="59"/>
      <c r="D37" s="58">
        <v>9</v>
      </c>
      <c r="E37" s="60"/>
      <c r="F37" s="37" t="s">
        <v>73</v>
      </c>
      <c r="G37" s="45">
        <f>1985580/D37/12</f>
        <v>18385</v>
      </c>
      <c r="H37" s="48">
        <f t="shared" si="0"/>
        <v>18385</v>
      </c>
    </row>
    <row r="38" spans="2:8" ht="15">
      <c r="B38" s="58" t="s">
        <v>82</v>
      </c>
      <c r="C38" s="59"/>
      <c r="D38" s="58">
        <v>15</v>
      </c>
      <c r="E38" s="60"/>
      <c r="F38" s="37" t="s">
        <v>73</v>
      </c>
      <c r="G38" s="45">
        <f>3309300/D38/12</f>
        <v>18385</v>
      </c>
      <c r="H38" s="48">
        <f t="shared" si="0"/>
        <v>18385</v>
      </c>
    </row>
    <row r="39" spans="2:8" ht="15">
      <c r="B39" s="58" t="s">
        <v>83</v>
      </c>
      <c r="C39" s="59"/>
      <c r="D39" s="58">
        <v>1</v>
      </c>
      <c r="E39" s="60"/>
      <c r="F39" s="37" t="s">
        <v>73</v>
      </c>
      <c r="G39" s="45">
        <f>220620/D39/12</f>
        <v>18385</v>
      </c>
      <c r="H39" s="48">
        <f t="shared" si="0"/>
        <v>18385</v>
      </c>
    </row>
    <row r="40" spans="2:8" ht="15">
      <c r="B40" s="58" t="s">
        <v>84</v>
      </c>
      <c r="C40" s="59"/>
      <c r="D40" s="58">
        <v>2</v>
      </c>
      <c r="E40" s="60"/>
      <c r="F40" s="37" t="s">
        <v>73</v>
      </c>
      <c r="G40" s="45">
        <f>441240/D40/12</f>
        <v>18385</v>
      </c>
      <c r="H40" s="48">
        <f t="shared" si="0"/>
        <v>18385</v>
      </c>
    </row>
    <row r="41" spans="2:8" ht="15">
      <c r="B41" s="58" t="s">
        <v>276</v>
      </c>
      <c r="C41" s="59"/>
      <c r="D41" s="58">
        <v>1</v>
      </c>
      <c r="E41" s="60"/>
      <c r="F41" s="37" t="s">
        <v>73</v>
      </c>
      <c r="G41" s="45">
        <f>220620/D41/12</f>
        <v>18385</v>
      </c>
      <c r="H41" s="48">
        <f t="shared" si="0"/>
        <v>18385</v>
      </c>
    </row>
    <row r="42" spans="2:8" ht="15">
      <c r="B42" s="58" t="s">
        <v>277</v>
      </c>
      <c r="C42" s="59"/>
      <c r="D42" s="58">
        <v>2</v>
      </c>
      <c r="E42" s="60"/>
      <c r="F42" s="37" t="s">
        <v>73</v>
      </c>
      <c r="G42" s="45">
        <f>441240/D42/12</f>
        <v>18385</v>
      </c>
      <c r="H42" s="48">
        <f t="shared" si="0"/>
        <v>18385</v>
      </c>
    </row>
    <row r="43" spans="2:8" ht="15">
      <c r="B43" s="58" t="s">
        <v>278</v>
      </c>
      <c r="C43" s="59"/>
      <c r="D43" s="58">
        <v>2</v>
      </c>
      <c r="E43" s="60"/>
      <c r="F43" s="37" t="s">
        <v>73</v>
      </c>
      <c r="G43" s="45">
        <f>441240/D43/12</f>
        <v>18385</v>
      </c>
      <c r="H43" s="48">
        <f t="shared" si="0"/>
        <v>18385</v>
      </c>
    </row>
    <row r="44" spans="2:8" ht="15">
      <c r="B44" s="58" t="s">
        <v>85</v>
      </c>
      <c r="C44" s="59"/>
      <c r="D44" s="58">
        <v>1</v>
      </c>
      <c r="E44" s="60"/>
      <c r="F44" s="37" t="s">
        <v>73</v>
      </c>
      <c r="G44" s="45">
        <f>220620/D44/12</f>
        <v>18385</v>
      </c>
      <c r="H44" s="48">
        <f t="shared" si="0"/>
        <v>18385</v>
      </c>
    </row>
    <row r="45" spans="2:8" ht="15">
      <c r="B45" s="58" t="s">
        <v>86</v>
      </c>
      <c r="C45" s="59"/>
      <c r="D45" s="58">
        <v>9</v>
      </c>
      <c r="E45" s="60"/>
      <c r="F45" s="37" t="s">
        <v>73</v>
      </c>
      <c r="G45" s="45">
        <f>1985580/D45/12</f>
        <v>18385</v>
      </c>
      <c r="H45" s="48">
        <f t="shared" si="0"/>
        <v>18385</v>
      </c>
    </row>
    <row r="46" spans="2:8" ht="15">
      <c r="B46" s="58" t="s">
        <v>161</v>
      </c>
      <c r="C46" s="59"/>
      <c r="D46" s="58">
        <v>8</v>
      </c>
      <c r="E46" s="60"/>
      <c r="F46" s="37" t="s">
        <v>73</v>
      </c>
      <c r="G46" s="45">
        <f>1764960/D46/12</f>
        <v>18385</v>
      </c>
      <c r="H46" s="48">
        <f t="shared" si="0"/>
        <v>18385</v>
      </c>
    </row>
    <row r="47" spans="2:8" ht="15">
      <c r="B47" s="58" t="s">
        <v>162</v>
      </c>
      <c r="C47" s="59"/>
      <c r="D47" s="58">
        <v>22</v>
      </c>
      <c r="E47" s="60"/>
      <c r="F47" s="37" t="s">
        <v>73</v>
      </c>
      <c r="G47" s="45">
        <f>4853640/D47/12</f>
        <v>18385</v>
      </c>
      <c r="H47" s="48">
        <f t="shared" si="0"/>
        <v>18385</v>
      </c>
    </row>
    <row r="48" spans="2:8" ht="15">
      <c r="B48" s="58" t="s">
        <v>163</v>
      </c>
      <c r="C48" s="59"/>
      <c r="D48" s="58">
        <v>282</v>
      </c>
      <c r="E48" s="60"/>
      <c r="F48" s="37" t="s">
        <v>73</v>
      </c>
      <c r="G48" s="45">
        <f>62214840/D48/12</f>
        <v>18385</v>
      </c>
      <c r="H48" s="48">
        <f t="shared" si="0"/>
        <v>18385</v>
      </c>
    </row>
    <row r="49" spans="2:8" ht="15">
      <c r="B49" s="58" t="s">
        <v>87</v>
      </c>
      <c r="C49" s="59"/>
      <c r="D49" s="58">
        <v>29</v>
      </c>
      <c r="E49" s="60"/>
      <c r="F49" s="37" t="s">
        <v>73</v>
      </c>
      <c r="G49" s="45">
        <f>7288860/D49/12</f>
        <v>20945</v>
      </c>
      <c r="H49" s="48">
        <f t="shared" si="0"/>
        <v>20945</v>
      </c>
    </row>
    <row r="50" spans="2:8" ht="15">
      <c r="B50" s="58" t="s">
        <v>279</v>
      </c>
      <c r="C50" s="59"/>
      <c r="D50" s="58">
        <v>1</v>
      </c>
      <c r="E50" s="60"/>
      <c r="F50" s="37" t="s">
        <v>73</v>
      </c>
      <c r="G50" s="45">
        <f>251340/D50/12</f>
        <v>20945</v>
      </c>
      <c r="H50" s="48">
        <f t="shared" si="0"/>
        <v>20945</v>
      </c>
    </row>
    <row r="51" spans="2:8" ht="15">
      <c r="B51" s="58" t="s">
        <v>280</v>
      </c>
      <c r="C51" s="59"/>
      <c r="D51" s="58">
        <v>2</v>
      </c>
      <c r="E51" s="60"/>
      <c r="F51" s="37" t="s">
        <v>73</v>
      </c>
      <c r="G51" s="45">
        <f>502680/D51/12</f>
        <v>20945</v>
      </c>
      <c r="H51" s="48">
        <f t="shared" si="0"/>
        <v>20945</v>
      </c>
    </row>
    <row r="52" spans="2:8" ht="15">
      <c r="B52" s="58" t="s">
        <v>88</v>
      </c>
      <c r="C52" s="59"/>
      <c r="D52" s="58">
        <v>2</v>
      </c>
      <c r="E52" s="60"/>
      <c r="F52" s="37" t="s">
        <v>73</v>
      </c>
      <c r="G52" s="45">
        <f>502680/D52/12</f>
        <v>20945</v>
      </c>
      <c r="H52" s="48">
        <f t="shared" si="0"/>
        <v>20945</v>
      </c>
    </row>
    <row r="53" spans="2:8" ht="15">
      <c r="B53" s="58" t="s">
        <v>281</v>
      </c>
      <c r="C53" s="59"/>
      <c r="D53" s="58">
        <v>5</v>
      </c>
      <c r="E53" s="60"/>
      <c r="F53" s="37" t="s">
        <v>73</v>
      </c>
      <c r="G53" s="45">
        <f>1256700/D53/12</f>
        <v>20945</v>
      </c>
      <c r="H53" s="48">
        <f t="shared" si="0"/>
        <v>20945</v>
      </c>
    </row>
    <row r="54" spans="2:8" ht="15">
      <c r="B54" s="58" t="s">
        <v>89</v>
      </c>
      <c r="C54" s="59"/>
      <c r="D54" s="58">
        <v>10</v>
      </c>
      <c r="E54" s="60"/>
      <c r="F54" s="37" t="s">
        <v>73</v>
      </c>
      <c r="G54" s="45">
        <f>2513400/D54/12</f>
        <v>20945</v>
      </c>
      <c r="H54" s="48">
        <f t="shared" si="0"/>
        <v>20945</v>
      </c>
    </row>
    <row r="55" spans="2:8" ht="15">
      <c r="B55" s="58" t="s">
        <v>282</v>
      </c>
      <c r="C55" s="59"/>
      <c r="D55" s="58">
        <v>36</v>
      </c>
      <c r="E55" s="60"/>
      <c r="F55" s="37" t="s">
        <v>73</v>
      </c>
      <c r="G55" s="45">
        <f>9048240/D55/12</f>
        <v>20945</v>
      </c>
      <c r="H55" s="48">
        <f t="shared" si="0"/>
        <v>20945</v>
      </c>
    </row>
    <row r="56" spans="2:8" ht="15">
      <c r="B56" s="58" t="s">
        <v>283</v>
      </c>
      <c r="C56" s="59"/>
      <c r="D56" s="58">
        <v>3</v>
      </c>
      <c r="E56" s="60"/>
      <c r="F56" s="37" t="s">
        <v>73</v>
      </c>
      <c r="G56" s="45">
        <f>754020/D56/12</f>
        <v>20945</v>
      </c>
      <c r="H56" s="48">
        <f t="shared" si="0"/>
        <v>20945</v>
      </c>
    </row>
    <row r="57" spans="2:8" ht="15">
      <c r="B57" s="58" t="s">
        <v>90</v>
      </c>
      <c r="C57" s="59"/>
      <c r="D57" s="58">
        <v>1</v>
      </c>
      <c r="E57" s="60"/>
      <c r="F57" s="37" t="s">
        <v>73</v>
      </c>
      <c r="G57" s="45">
        <f>251340/D57/12</f>
        <v>20945</v>
      </c>
      <c r="H57" s="48">
        <f t="shared" si="0"/>
        <v>20945</v>
      </c>
    </row>
    <row r="58" spans="2:8" ht="15">
      <c r="B58" s="58" t="s">
        <v>284</v>
      </c>
      <c r="C58" s="59"/>
      <c r="D58" s="58">
        <v>23</v>
      </c>
      <c r="E58" s="60"/>
      <c r="F58" s="37" t="s">
        <v>73</v>
      </c>
      <c r="G58" s="45">
        <f>5780820/D58/12</f>
        <v>20945</v>
      </c>
      <c r="H58" s="48">
        <f t="shared" si="0"/>
        <v>20945</v>
      </c>
    </row>
    <row r="59" spans="2:8" ht="15">
      <c r="B59" s="58" t="s">
        <v>285</v>
      </c>
      <c r="C59" s="59"/>
      <c r="D59" s="58">
        <v>23</v>
      </c>
      <c r="E59" s="60"/>
      <c r="F59" s="37" t="s">
        <v>73</v>
      </c>
      <c r="G59" s="45">
        <f>5780820/D59/12</f>
        <v>20945</v>
      </c>
      <c r="H59" s="48">
        <f t="shared" si="0"/>
        <v>20945</v>
      </c>
    </row>
    <row r="60" spans="2:8" ht="15">
      <c r="B60" s="58" t="s">
        <v>286</v>
      </c>
      <c r="C60" s="59"/>
      <c r="D60" s="58">
        <v>110</v>
      </c>
      <c r="E60" s="60"/>
      <c r="F60" s="37" t="s">
        <v>73</v>
      </c>
      <c r="G60" s="45">
        <f>27647400/D60/12</f>
        <v>20945</v>
      </c>
      <c r="H60" s="48">
        <f t="shared" si="0"/>
        <v>20945</v>
      </c>
    </row>
    <row r="61" spans="2:8" ht="15">
      <c r="B61" s="58" t="s">
        <v>287</v>
      </c>
      <c r="C61" s="59"/>
      <c r="D61" s="58">
        <v>6</v>
      </c>
      <c r="E61" s="60"/>
      <c r="F61" s="37" t="s">
        <v>73</v>
      </c>
      <c r="G61" s="45">
        <f>1240992/D61/12</f>
        <v>17236</v>
      </c>
      <c r="H61" s="48">
        <f t="shared" si="0"/>
        <v>17236</v>
      </c>
    </row>
    <row r="62" spans="2:8" ht="15">
      <c r="B62" s="58" t="s">
        <v>288</v>
      </c>
      <c r="C62" s="59"/>
      <c r="D62" s="58">
        <v>24</v>
      </c>
      <c r="E62" s="60"/>
      <c r="F62" s="37" t="s">
        <v>73</v>
      </c>
      <c r="G62" s="45">
        <f>4963968/D62/12</f>
        <v>17236</v>
      </c>
      <c r="H62" s="48">
        <f t="shared" si="0"/>
        <v>17236</v>
      </c>
    </row>
    <row r="63" spans="2:8" ht="15">
      <c r="B63" s="58" t="s">
        <v>289</v>
      </c>
      <c r="C63" s="59"/>
      <c r="D63" s="58">
        <v>2</v>
      </c>
      <c r="E63" s="60"/>
      <c r="F63" s="37" t="s">
        <v>73</v>
      </c>
      <c r="G63" s="45">
        <f>502680/D63/12</f>
        <v>20945</v>
      </c>
      <c r="H63" s="48">
        <f t="shared" si="0"/>
        <v>20945</v>
      </c>
    </row>
    <row r="64" spans="2:8" ht="15">
      <c r="B64" s="58" t="s">
        <v>91</v>
      </c>
      <c r="C64" s="59"/>
      <c r="D64" s="58">
        <v>14</v>
      </c>
      <c r="E64" s="60"/>
      <c r="F64" s="37" t="s">
        <v>73</v>
      </c>
      <c r="G64" s="45">
        <f>3518760/D64/12</f>
        <v>20945</v>
      </c>
      <c r="H64" s="48">
        <f t="shared" si="0"/>
        <v>20945</v>
      </c>
    </row>
    <row r="65" spans="2:8" ht="15">
      <c r="B65" s="58" t="s">
        <v>290</v>
      </c>
      <c r="C65" s="59"/>
      <c r="D65" s="58">
        <v>552</v>
      </c>
      <c r="E65" s="60"/>
      <c r="F65" s="37" t="s">
        <v>73</v>
      </c>
      <c r="G65" s="45">
        <f>138739680/D65/12</f>
        <v>20945</v>
      </c>
      <c r="H65" s="48">
        <f t="shared" si="0"/>
        <v>20945</v>
      </c>
    </row>
    <row r="66" spans="2:8" ht="15">
      <c r="B66" s="58" t="s">
        <v>291</v>
      </c>
      <c r="C66" s="59"/>
      <c r="D66" s="58">
        <v>19</v>
      </c>
      <c r="E66" s="60"/>
      <c r="F66" s="37" t="s">
        <v>73</v>
      </c>
      <c r="G66" s="45">
        <f>4775460/D66/12</f>
        <v>20945</v>
      </c>
      <c r="H66" s="48">
        <f t="shared" si="0"/>
        <v>20945</v>
      </c>
    </row>
    <row r="67" spans="2:8" ht="15">
      <c r="B67" s="58" t="s">
        <v>292</v>
      </c>
      <c r="C67" s="59"/>
      <c r="D67" s="58">
        <v>6</v>
      </c>
      <c r="E67" s="60"/>
      <c r="F67" s="37" t="s">
        <v>73</v>
      </c>
      <c r="G67" s="45">
        <f>1618848/D67/12</f>
        <v>22484</v>
      </c>
      <c r="H67" s="48">
        <f t="shared" si="0"/>
        <v>22484</v>
      </c>
    </row>
    <row r="68" spans="2:8" ht="15">
      <c r="B68" s="58" t="s">
        <v>293</v>
      </c>
      <c r="C68" s="59"/>
      <c r="D68" s="58">
        <v>6</v>
      </c>
      <c r="E68" s="60"/>
      <c r="F68" s="37" t="s">
        <v>73</v>
      </c>
      <c r="G68" s="45">
        <f>1618848/D68/12</f>
        <v>22484</v>
      </c>
      <c r="H68" s="48">
        <f t="shared" si="0"/>
        <v>22484</v>
      </c>
    </row>
    <row r="69" spans="2:8" ht="15">
      <c r="B69" s="58" t="s">
        <v>294</v>
      </c>
      <c r="C69" s="59"/>
      <c r="D69" s="58">
        <v>13</v>
      </c>
      <c r="E69" s="60"/>
      <c r="F69" s="37" t="s">
        <v>73</v>
      </c>
      <c r="G69" s="45">
        <f>3507504/D69/12</f>
        <v>22484</v>
      </c>
      <c r="H69" s="48">
        <f t="shared" si="0"/>
        <v>22484</v>
      </c>
    </row>
    <row r="70" spans="2:8" ht="15">
      <c r="B70" s="58" t="s">
        <v>295</v>
      </c>
      <c r="C70" s="59"/>
      <c r="D70" s="58">
        <v>1</v>
      </c>
      <c r="E70" s="60"/>
      <c r="F70" s="37" t="s">
        <v>73</v>
      </c>
      <c r="G70" s="45">
        <f>269808/D70/12</f>
        <v>22484</v>
      </c>
      <c r="H70" s="48">
        <f t="shared" si="0"/>
        <v>22484</v>
      </c>
    </row>
    <row r="71" spans="2:8" ht="15">
      <c r="B71" s="58" t="s">
        <v>92</v>
      </c>
      <c r="C71" s="59"/>
      <c r="D71" s="58">
        <v>2</v>
      </c>
      <c r="E71" s="60"/>
      <c r="F71" s="37" t="s">
        <v>73</v>
      </c>
      <c r="G71" s="45">
        <f>539616/D71/12</f>
        <v>22484</v>
      </c>
      <c r="H71" s="48">
        <f t="shared" si="0"/>
        <v>22484</v>
      </c>
    </row>
    <row r="72" spans="2:8" ht="15">
      <c r="B72" s="58" t="s">
        <v>93</v>
      </c>
      <c r="C72" s="59"/>
      <c r="D72" s="58">
        <v>43</v>
      </c>
      <c r="E72" s="60"/>
      <c r="F72" s="37" t="s">
        <v>73</v>
      </c>
      <c r="G72" s="45">
        <f>11601744/D72/12</f>
        <v>22484</v>
      </c>
      <c r="H72" s="48">
        <f t="shared" si="0"/>
        <v>22484</v>
      </c>
    </row>
    <row r="73" spans="2:8" ht="15">
      <c r="B73" s="58" t="s">
        <v>94</v>
      </c>
      <c r="C73" s="59"/>
      <c r="D73" s="58">
        <v>2</v>
      </c>
      <c r="E73" s="60"/>
      <c r="F73" s="37" t="s">
        <v>73</v>
      </c>
      <c r="G73" s="45">
        <f>539616/D73/12</f>
        <v>22484</v>
      </c>
      <c r="H73" s="48">
        <f t="shared" si="0"/>
        <v>22484</v>
      </c>
    </row>
    <row r="74" spans="2:8" ht="15">
      <c r="B74" s="58" t="s">
        <v>296</v>
      </c>
      <c r="C74" s="59"/>
      <c r="D74" s="58">
        <v>1</v>
      </c>
      <c r="E74" s="60"/>
      <c r="F74" s="37" t="s">
        <v>73</v>
      </c>
      <c r="G74" s="45">
        <f>222036/D74/12</f>
        <v>18503</v>
      </c>
      <c r="H74" s="48">
        <f t="shared" si="0"/>
        <v>18503</v>
      </c>
    </row>
    <row r="75" spans="2:8" ht="15">
      <c r="B75" s="58" t="s">
        <v>203</v>
      </c>
      <c r="C75" s="59"/>
      <c r="D75" s="58">
        <v>1228</v>
      </c>
      <c r="E75" s="60"/>
      <c r="F75" s="37" t="s">
        <v>73</v>
      </c>
      <c r="G75" s="45">
        <f>317000832/D75/12</f>
        <v>21512</v>
      </c>
      <c r="H75" s="48">
        <f t="shared" si="0"/>
        <v>21512</v>
      </c>
    </row>
    <row r="76" spans="2:8" ht="15">
      <c r="B76" s="58" t="s">
        <v>95</v>
      </c>
      <c r="C76" s="59"/>
      <c r="D76" s="58">
        <v>262</v>
      </c>
      <c r="E76" s="60"/>
      <c r="F76" s="37" t="s">
        <v>73</v>
      </c>
      <c r="G76" s="45">
        <f>70689696/D76/12</f>
        <v>22484</v>
      </c>
      <c r="H76" s="48">
        <f t="shared" si="0"/>
        <v>22484</v>
      </c>
    </row>
    <row r="77" spans="2:8" ht="15">
      <c r="B77" s="58" t="s">
        <v>164</v>
      </c>
      <c r="C77" s="59"/>
      <c r="D77" s="58">
        <v>11</v>
      </c>
      <c r="E77" s="60"/>
      <c r="F77" s="37" t="s">
        <v>73</v>
      </c>
      <c r="G77" s="45">
        <f>2839584/D77/12</f>
        <v>21512</v>
      </c>
      <c r="H77" s="48">
        <f t="shared" si="0"/>
        <v>21512</v>
      </c>
    </row>
    <row r="78" spans="2:8" ht="15">
      <c r="B78" s="58" t="s">
        <v>297</v>
      </c>
      <c r="C78" s="59"/>
      <c r="D78" s="58">
        <v>58</v>
      </c>
      <c r="E78" s="60"/>
      <c r="F78" s="37" t="s">
        <v>73</v>
      </c>
      <c r="G78" s="45">
        <f>15648864/D78/12</f>
        <v>22484</v>
      </c>
      <c r="H78" s="48">
        <f t="shared" si="0"/>
        <v>22484</v>
      </c>
    </row>
    <row r="79" spans="2:8" ht="15">
      <c r="B79" s="58" t="s">
        <v>196</v>
      </c>
      <c r="C79" s="59"/>
      <c r="D79" s="58">
        <v>4</v>
      </c>
      <c r="E79" s="60"/>
      <c r="F79" s="37" t="s">
        <v>73</v>
      </c>
      <c r="G79" s="45">
        <f>1032576/D79/12</f>
        <v>21512</v>
      </c>
      <c r="H79" s="48">
        <f aca="true" t="shared" si="1" ref="H79:H142">+G79</f>
        <v>21512</v>
      </c>
    </row>
    <row r="80" spans="2:8" ht="15">
      <c r="B80" s="58" t="s">
        <v>165</v>
      </c>
      <c r="C80" s="59"/>
      <c r="D80" s="58">
        <v>18</v>
      </c>
      <c r="E80" s="60"/>
      <c r="F80" s="37" t="s">
        <v>73</v>
      </c>
      <c r="G80" s="45">
        <f>4646592/D80/12</f>
        <v>21512</v>
      </c>
      <c r="H80" s="48">
        <f t="shared" si="1"/>
        <v>21512</v>
      </c>
    </row>
    <row r="81" spans="2:8" ht="15">
      <c r="B81" s="58" t="s">
        <v>166</v>
      </c>
      <c r="C81" s="59"/>
      <c r="D81" s="58">
        <v>20</v>
      </c>
      <c r="E81" s="60"/>
      <c r="F81" s="37" t="s">
        <v>73</v>
      </c>
      <c r="G81" s="45">
        <f>5162880/D81/12</f>
        <v>21512</v>
      </c>
      <c r="H81" s="48">
        <f t="shared" si="1"/>
        <v>21512</v>
      </c>
    </row>
    <row r="82" spans="2:8" ht="15">
      <c r="B82" s="58" t="s">
        <v>186</v>
      </c>
      <c r="C82" s="59"/>
      <c r="D82" s="58">
        <v>1</v>
      </c>
      <c r="E82" s="60"/>
      <c r="F82" s="37" t="s">
        <v>73</v>
      </c>
      <c r="G82" s="45">
        <f>258144/D82/12</f>
        <v>21512</v>
      </c>
      <c r="H82" s="48">
        <f t="shared" si="1"/>
        <v>21512</v>
      </c>
    </row>
    <row r="83" spans="2:8" ht="15">
      <c r="B83" s="58" t="s">
        <v>204</v>
      </c>
      <c r="C83" s="59"/>
      <c r="D83" s="58">
        <v>100</v>
      </c>
      <c r="E83" s="60"/>
      <c r="F83" s="52" t="s">
        <v>73</v>
      </c>
      <c r="G83" s="45">
        <f>25814400/D83/12</f>
        <v>21512</v>
      </c>
      <c r="H83" s="48">
        <f>+G83</f>
        <v>21512</v>
      </c>
    </row>
    <row r="84" spans="2:8" ht="15">
      <c r="B84" s="58" t="s">
        <v>298</v>
      </c>
      <c r="C84" s="59"/>
      <c r="D84" s="58">
        <v>48</v>
      </c>
      <c r="E84" s="60"/>
      <c r="F84" s="54" t="s">
        <v>73</v>
      </c>
      <c r="G84" s="45">
        <f>12390912/D84/12</f>
        <v>21512</v>
      </c>
      <c r="H84" s="48">
        <f>+G84</f>
        <v>21512</v>
      </c>
    </row>
    <row r="85" spans="2:8" ht="15">
      <c r="B85" s="58" t="s">
        <v>96</v>
      </c>
      <c r="C85" s="59"/>
      <c r="D85" s="58">
        <v>15</v>
      </c>
      <c r="E85" s="60"/>
      <c r="F85" s="37" t="s">
        <v>73</v>
      </c>
      <c r="G85" s="45">
        <f>4298040/D85/12</f>
        <v>23878</v>
      </c>
      <c r="H85" s="48">
        <f t="shared" si="1"/>
        <v>23878</v>
      </c>
    </row>
    <row r="86" spans="2:8" ht="15">
      <c r="B86" s="58" t="s">
        <v>97</v>
      </c>
      <c r="C86" s="59"/>
      <c r="D86" s="58">
        <v>262</v>
      </c>
      <c r="E86" s="60"/>
      <c r="F86" s="37" t="s">
        <v>73</v>
      </c>
      <c r="G86" s="45">
        <f>75072432/D86/12</f>
        <v>23878</v>
      </c>
      <c r="H86" s="48">
        <f t="shared" si="1"/>
        <v>23878</v>
      </c>
    </row>
    <row r="87" spans="2:8" ht="15">
      <c r="B87" s="58" t="s">
        <v>98</v>
      </c>
      <c r="C87" s="59"/>
      <c r="D87" s="58">
        <v>5</v>
      </c>
      <c r="E87" s="60"/>
      <c r="F87" s="37" t="s">
        <v>73</v>
      </c>
      <c r="G87" s="45">
        <f>1432680/D87/12</f>
        <v>23878</v>
      </c>
      <c r="H87" s="48">
        <f t="shared" si="1"/>
        <v>23878</v>
      </c>
    </row>
    <row r="88" spans="2:8" ht="15">
      <c r="B88" s="58" t="s">
        <v>99</v>
      </c>
      <c r="C88" s="59"/>
      <c r="D88" s="58">
        <v>4</v>
      </c>
      <c r="E88" s="60"/>
      <c r="F88" s="37" t="s">
        <v>73</v>
      </c>
      <c r="G88" s="45">
        <f>1146144/D88/12</f>
        <v>23878</v>
      </c>
      <c r="H88" s="48">
        <f t="shared" si="1"/>
        <v>23878</v>
      </c>
    </row>
    <row r="89" spans="2:8" ht="15">
      <c r="B89" s="58" t="s">
        <v>100</v>
      </c>
      <c r="C89" s="59"/>
      <c r="D89" s="58">
        <v>4</v>
      </c>
      <c r="E89" s="60"/>
      <c r="F89" s="37" t="s">
        <v>73</v>
      </c>
      <c r="G89" s="45">
        <f>1146144/D89/12</f>
        <v>23878</v>
      </c>
      <c r="H89" s="48">
        <f t="shared" si="1"/>
        <v>23878</v>
      </c>
    </row>
    <row r="90" spans="2:8" ht="15">
      <c r="B90" s="58" t="s">
        <v>101</v>
      </c>
      <c r="C90" s="59"/>
      <c r="D90" s="58">
        <v>52</v>
      </c>
      <c r="E90" s="60"/>
      <c r="F90" s="37" t="s">
        <v>73</v>
      </c>
      <c r="G90" s="45">
        <f>14899872/D90/12</f>
        <v>23878</v>
      </c>
      <c r="H90" s="48">
        <f t="shared" si="1"/>
        <v>23878</v>
      </c>
    </row>
    <row r="91" spans="2:8" ht="15">
      <c r="B91" s="58" t="s">
        <v>102</v>
      </c>
      <c r="C91" s="59"/>
      <c r="D91" s="58">
        <v>7</v>
      </c>
      <c r="E91" s="60"/>
      <c r="F91" s="37" t="s">
        <v>73</v>
      </c>
      <c r="G91" s="45">
        <f>2005752/D91/12</f>
        <v>23878</v>
      </c>
      <c r="H91" s="48">
        <f t="shared" si="1"/>
        <v>23878</v>
      </c>
    </row>
    <row r="92" spans="2:8" ht="15">
      <c r="B92" s="58" t="s">
        <v>103</v>
      </c>
      <c r="C92" s="59"/>
      <c r="D92" s="58">
        <v>13</v>
      </c>
      <c r="E92" s="60"/>
      <c r="F92" s="37" t="s">
        <v>73</v>
      </c>
      <c r="G92" s="45">
        <f>3724968/D92/12</f>
        <v>23878</v>
      </c>
      <c r="H92" s="48">
        <f t="shared" si="1"/>
        <v>23878</v>
      </c>
    </row>
    <row r="93" spans="2:8" ht="15">
      <c r="B93" s="58" t="s">
        <v>299</v>
      </c>
      <c r="C93" s="59"/>
      <c r="D93" s="58">
        <v>137</v>
      </c>
      <c r="E93" s="60"/>
      <c r="F93" s="37" t="s">
        <v>73</v>
      </c>
      <c r="G93" s="45">
        <f>39255432/D93/12</f>
        <v>23878</v>
      </c>
      <c r="H93" s="48">
        <f t="shared" si="1"/>
        <v>23878</v>
      </c>
    </row>
    <row r="94" spans="2:8" ht="15">
      <c r="B94" s="58" t="s">
        <v>300</v>
      </c>
      <c r="C94" s="59"/>
      <c r="D94" s="58">
        <v>2</v>
      </c>
      <c r="E94" s="60"/>
      <c r="F94" s="37" t="s">
        <v>73</v>
      </c>
      <c r="G94" s="45">
        <f>573072/D94/12</f>
        <v>23878</v>
      </c>
      <c r="H94" s="48">
        <f t="shared" si="1"/>
        <v>23878</v>
      </c>
    </row>
    <row r="95" spans="2:8" ht="15">
      <c r="B95" s="58" t="s">
        <v>205</v>
      </c>
      <c r="C95" s="59"/>
      <c r="D95" s="58">
        <v>264</v>
      </c>
      <c r="E95" s="60"/>
      <c r="F95" s="37" t="s">
        <v>73</v>
      </c>
      <c r="G95" s="45">
        <f>70019136/D95/12</f>
        <v>22102</v>
      </c>
      <c r="H95" s="48">
        <f t="shared" si="1"/>
        <v>22102</v>
      </c>
    </row>
    <row r="96" spans="2:8" ht="15">
      <c r="B96" s="58" t="s">
        <v>104</v>
      </c>
      <c r="C96" s="59"/>
      <c r="D96" s="58">
        <v>20</v>
      </c>
      <c r="E96" s="60"/>
      <c r="F96" s="37" t="s">
        <v>73</v>
      </c>
      <c r="G96" s="45">
        <f>5730720/D96/12</f>
        <v>23878</v>
      </c>
      <c r="H96" s="48">
        <f t="shared" si="1"/>
        <v>23878</v>
      </c>
    </row>
    <row r="97" spans="2:8" ht="15">
      <c r="B97" s="58" t="s">
        <v>167</v>
      </c>
      <c r="C97" s="59"/>
      <c r="D97" s="58">
        <v>5</v>
      </c>
      <c r="E97" s="60"/>
      <c r="F97" s="37" t="s">
        <v>73</v>
      </c>
      <c r="G97" s="45">
        <f>1326120/D97/12</f>
        <v>22102</v>
      </c>
      <c r="H97" s="48">
        <f t="shared" si="1"/>
        <v>22102</v>
      </c>
    </row>
    <row r="98" spans="2:8" ht="15">
      <c r="B98" s="58" t="s">
        <v>301</v>
      </c>
      <c r="C98" s="59"/>
      <c r="D98" s="58">
        <v>11</v>
      </c>
      <c r="E98" s="60"/>
      <c r="F98" s="37" t="s">
        <v>73</v>
      </c>
      <c r="G98" s="45">
        <f>3151896/D98/12</f>
        <v>23878</v>
      </c>
      <c r="H98" s="48">
        <f t="shared" si="1"/>
        <v>23878</v>
      </c>
    </row>
    <row r="99" spans="2:8" ht="15">
      <c r="B99" s="58" t="s">
        <v>105</v>
      </c>
      <c r="C99" s="59"/>
      <c r="D99" s="58">
        <v>8</v>
      </c>
      <c r="E99" s="60"/>
      <c r="F99" s="37" t="s">
        <v>73</v>
      </c>
      <c r="G99" s="45">
        <f>1886496/D99/12</f>
        <v>19651</v>
      </c>
      <c r="H99" s="48">
        <f t="shared" si="1"/>
        <v>19651</v>
      </c>
    </row>
    <row r="100" spans="2:8" ht="15">
      <c r="B100" s="58" t="s">
        <v>106</v>
      </c>
      <c r="C100" s="59"/>
      <c r="D100" s="58">
        <v>8</v>
      </c>
      <c r="E100" s="60"/>
      <c r="F100" s="37" t="s">
        <v>73</v>
      </c>
      <c r="G100" s="45">
        <f>1886496/D100/12</f>
        <v>19651</v>
      </c>
      <c r="H100" s="48">
        <f t="shared" si="1"/>
        <v>19651</v>
      </c>
    </row>
    <row r="101" spans="2:8" ht="15">
      <c r="B101" s="58" t="s">
        <v>187</v>
      </c>
      <c r="C101" s="59"/>
      <c r="D101" s="58">
        <v>1</v>
      </c>
      <c r="E101" s="60"/>
      <c r="F101" s="37" t="s">
        <v>73</v>
      </c>
      <c r="G101" s="45">
        <f>265224/D101/12</f>
        <v>22102</v>
      </c>
      <c r="H101" s="48">
        <f t="shared" si="1"/>
        <v>22102</v>
      </c>
    </row>
    <row r="102" spans="2:8" ht="15">
      <c r="B102" s="58" t="s">
        <v>302</v>
      </c>
      <c r="C102" s="59"/>
      <c r="D102" s="58">
        <v>5</v>
      </c>
      <c r="E102" s="60"/>
      <c r="F102" s="37" t="s">
        <v>73</v>
      </c>
      <c r="G102" s="45">
        <f>1326120/D102/12</f>
        <v>22102</v>
      </c>
      <c r="H102" s="48">
        <f t="shared" si="1"/>
        <v>22102</v>
      </c>
    </row>
    <row r="103" spans="2:8" ht="15">
      <c r="B103" s="58" t="s">
        <v>107</v>
      </c>
      <c r="C103" s="59"/>
      <c r="D103" s="58">
        <v>17</v>
      </c>
      <c r="E103" s="60"/>
      <c r="F103" s="37" t="s">
        <v>73</v>
      </c>
      <c r="G103" s="45">
        <f>5214036/D103/12</f>
        <v>25559</v>
      </c>
      <c r="H103" s="48">
        <f t="shared" si="1"/>
        <v>25559</v>
      </c>
    </row>
    <row r="104" spans="2:8" ht="15">
      <c r="B104" s="58" t="s">
        <v>108</v>
      </c>
      <c r="C104" s="59"/>
      <c r="D104" s="58">
        <v>14</v>
      </c>
      <c r="E104" s="60"/>
      <c r="F104" s="37" t="s">
        <v>73</v>
      </c>
      <c r="G104" s="45">
        <f>4293912/D104/12</f>
        <v>25559</v>
      </c>
      <c r="H104" s="48">
        <f t="shared" si="1"/>
        <v>25559</v>
      </c>
    </row>
    <row r="105" spans="2:8" ht="15">
      <c r="B105" s="58" t="s">
        <v>109</v>
      </c>
      <c r="C105" s="59"/>
      <c r="D105" s="58">
        <v>6</v>
      </c>
      <c r="E105" s="60"/>
      <c r="F105" s="37" t="s">
        <v>73</v>
      </c>
      <c r="G105" s="45">
        <f>1840248/D105/12</f>
        <v>25559</v>
      </c>
      <c r="H105" s="48">
        <f t="shared" si="1"/>
        <v>25559</v>
      </c>
    </row>
    <row r="106" spans="2:8" ht="15">
      <c r="B106" s="58" t="s">
        <v>197</v>
      </c>
      <c r="C106" s="59"/>
      <c r="D106" s="58">
        <v>4</v>
      </c>
      <c r="E106" s="60"/>
      <c r="F106" s="42" t="s">
        <v>73</v>
      </c>
      <c r="G106" s="45">
        <f>1226832/D106/12</f>
        <v>25559</v>
      </c>
      <c r="H106" s="48">
        <f t="shared" si="1"/>
        <v>25559</v>
      </c>
    </row>
    <row r="107" spans="2:8" ht="15">
      <c r="B107" s="58" t="s">
        <v>303</v>
      </c>
      <c r="C107" s="59"/>
      <c r="D107" s="58">
        <v>150</v>
      </c>
      <c r="E107" s="60"/>
      <c r="F107" s="37" t="s">
        <v>73</v>
      </c>
      <c r="G107" s="45">
        <f>46006200/D107/12</f>
        <v>25559</v>
      </c>
      <c r="H107" s="48">
        <f t="shared" si="1"/>
        <v>25559</v>
      </c>
    </row>
    <row r="108" spans="2:8" ht="15">
      <c r="B108" s="58" t="s">
        <v>206</v>
      </c>
      <c r="C108" s="59"/>
      <c r="D108" s="58">
        <v>747</v>
      </c>
      <c r="E108" s="60"/>
      <c r="F108" s="37" t="s">
        <v>73</v>
      </c>
      <c r="G108" s="45">
        <f>212581260/D108/12</f>
        <v>23715</v>
      </c>
      <c r="H108" s="48">
        <f t="shared" si="1"/>
        <v>23715</v>
      </c>
    </row>
    <row r="109" spans="2:8" ht="15">
      <c r="B109" s="58" t="s">
        <v>110</v>
      </c>
      <c r="C109" s="59"/>
      <c r="D109" s="58">
        <v>2</v>
      </c>
      <c r="E109" s="60"/>
      <c r="F109" s="37" t="s">
        <v>73</v>
      </c>
      <c r="G109" s="45">
        <f>504792/D109/12</f>
        <v>21033</v>
      </c>
      <c r="H109" s="48">
        <f t="shared" si="1"/>
        <v>21033</v>
      </c>
    </row>
    <row r="110" spans="2:8" ht="15">
      <c r="B110" s="58" t="s">
        <v>304</v>
      </c>
      <c r="C110" s="59"/>
      <c r="D110" s="58">
        <v>422</v>
      </c>
      <c r="E110" s="60"/>
      <c r="F110" s="37" t="s">
        <v>73</v>
      </c>
      <c r="G110" s="45">
        <f>120092760/D110/12</f>
        <v>23715</v>
      </c>
      <c r="H110" s="48">
        <f t="shared" si="1"/>
        <v>23715</v>
      </c>
    </row>
    <row r="111" spans="2:8" ht="15">
      <c r="B111" s="58" t="s">
        <v>305</v>
      </c>
      <c r="C111" s="59"/>
      <c r="D111" s="58">
        <v>242</v>
      </c>
      <c r="E111" s="60"/>
      <c r="F111" s="37" t="s">
        <v>73</v>
      </c>
      <c r="G111" s="45">
        <f>74223336/D111/12</f>
        <v>25559</v>
      </c>
      <c r="H111" s="48">
        <f t="shared" si="1"/>
        <v>25559</v>
      </c>
    </row>
    <row r="112" spans="2:8" ht="15">
      <c r="B112" s="58" t="s">
        <v>306</v>
      </c>
      <c r="C112" s="59"/>
      <c r="D112" s="58">
        <v>27</v>
      </c>
      <c r="E112" s="60"/>
      <c r="F112" s="37" t="s">
        <v>73</v>
      </c>
      <c r="G112" s="45">
        <f>8281116/D112/12</f>
        <v>25559</v>
      </c>
      <c r="H112" s="48">
        <f t="shared" si="1"/>
        <v>25559</v>
      </c>
    </row>
    <row r="113" spans="2:8" ht="15">
      <c r="B113" s="58" t="s">
        <v>168</v>
      </c>
      <c r="C113" s="59"/>
      <c r="D113" s="58">
        <v>10</v>
      </c>
      <c r="E113" s="60"/>
      <c r="F113" s="37" t="s">
        <v>73</v>
      </c>
      <c r="G113" s="45">
        <f>2845800/D113/12</f>
        <v>23715</v>
      </c>
      <c r="H113" s="48">
        <f t="shared" si="1"/>
        <v>23715</v>
      </c>
    </row>
    <row r="114" spans="2:8" ht="15">
      <c r="B114" s="58" t="s">
        <v>307</v>
      </c>
      <c r="C114" s="59"/>
      <c r="D114" s="58">
        <v>5</v>
      </c>
      <c r="E114" s="60"/>
      <c r="F114" s="37" t="s">
        <v>73</v>
      </c>
      <c r="G114" s="45">
        <f>1652580/D114/12</f>
        <v>27543</v>
      </c>
      <c r="H114" s="48">
        <f t="shared" si="1"/>
        <v>27543</v>
      </c>
    </row>
    <row r="115" spans="2:8" ht="15">
      <c r="B115" s="58" t="s">
        <v>111</v>
      </c>
      <c r="C115" s="59"/>
      <c r="D115" s="58">
        <v>36</v>
      </c>
      <c r="E115" s="60"/>
      <c r="F115" s="37" t="s">
        <v>73</v>
      </c>
      <c r="G115" s="45">
        <f>11898576/D115/12</f>
        <v>27543</v>
      </c>
      <c r="H115" s="48">
        <f t="shared" si="1"/>
        <v>27543</v>
      </c>
    </row>
    <row r="116" spans="2:8" ht="15">
      <c r="B116" s="58" t="s">
        <v>207</v>
      </c>
      <c r="C116" s="59"/>
      <c r="D116" s="58">
        <v>32</v>
      </c>
      <c r="E116" s="60"/>
      <c r="F116" s="37" t="s">
        <v>73</v>
      </c>
      <c r="G116" s="45">
        <f>10576512/D116/12</f>
        <v>27543</v>
      </c>
      <c r="H116" s="48">
        <f t="shared" si="1"/>
        <v>27543</v>
      </c>
    </row>
    <row r="117" spans="2:8" ht="15">
      <c r="B117" s="58" t="s">
        <v>169</v>
      </c>
      <c r="C117" s="59"/>
      <c r="D117" s="58">
        <v>17</v>
      </c>
      <c r="E117" s="60"/>
      <c r="F117" s="37" t="s">
        <v>73</v>
      </c>
      <c r="G117" s="45">
        <f>5618772/D117/12</f>
        <v>27543</v>
      </c>
      <c r="H117" s="48">
        <f t="shared" si="1"/>
        <v>27543</v>
      </c>
    </row>
    <row r="118" spans="2:8" ht="15">
      <c r="B118" s="58" t="s">
        <v>208</v>
      </c>
      <c r="C118" s="59"/>
      <c r="D118" s="58">
        <v>3</v>
      </c>
      <c r="E118" s="60"/>
      <c r="F118" s="37" t="s">
        <v>73</v>
      </c>
      <c r="G118" s="45">
        <f>991548/D118/12</f>
        <v>27543</v>
      </c>
      <c r="H118" s="48">
        <f t="shared" si="1"/>
        <v>27543</v>
      </c>
    </row>
    <row r="119" spans="2:8" ht="15">
      <c r="B119" s="58" t="s">
        <v>209</v>
      </c>
      <c r="C119" s="59"/>
      <c r="D119" s="58">
        <v>20</v>
      </c>
      <c r="E119" s="60"/>
      <c r="F119" s="37" t="s">
        <v>73</v>
      </c>
      <c r="G119" s="45">
        <f>6610320/D119/12</f>
        <v>27543</v>
      </c>
      <c r="H119" s="48">
        <f t="shared" si="1"/>
        <v>27543</v>
      </c>
    </row>
    <row r="120" spans="2:8" ht="15">
      <c r="B120" s="58" t="s">
        <v>210</v>
      </c>
      <c r="C120" s="59"/>
      <c r="D120" s="58">
        <v>7</v>
      </c>
      <c r="E120" s="60"/>
      <c r="F120" s="37" t="s">
        <v>73</v>
      </c>
      <c r="G120" s="45">
        <f>1903944/D120/12</f>
        <v>22666</v>
      </c>
      <c r="H120" s="48">
        <f t="shared" si="1"/>
        <v>22666</v>
      </c>
    </row>
    <row r="121" spans="2:8" ht="15">
      <c r="B121" s="58" t="s">
        <v>211</v>
      </c>
      <c r="C121" s="59"/>
      <c r="D121" s="58">
        <v>54</v>
      </c>
      <c r="E121" s="60"/>
      <c r="F121" s="37" t="s">
        <v>73</v>
      </c>
      <c r="G121" s="45">
        <f>16434576/D121/12</f>
        <v>25362</v>
      </c>
      <c r="H121" s="48">
        <f t="shared" si="1"/>
        <v>25362</v>
      </c>
    </row>
    <row r="122" spans="2:8" ht="15">
      <c r="B122" s="58" t="s">
        <v>212</v>
      </c>
      <c r="C122" s="59"/>
      <c r="D122" s="58">
        <v>16</v>
      </c>
      <c r="E122" s="60"/>
      <c r="F122" s="37" t="s">
        <v>73</v>
      </c>
      <c r="G122" s="45">
        <f>4351872/D122/12</f>
        <v>22666</v>
      </c>
      <c r="H122" s="48">
        <f t="shared" si="1"/>
        <v>22666</v>
      </c>
    </row>
    <row r="123" spans="2:8" ht="15">
      <c r="B123" s="58" t="s">
        <v>170</v>
      </c>
      <c r="C123" s="59"/>
      <c r="D123" s="58">
        <v>159</v>
      </c>
      <c r="E123" s="60"/>
      <c r="F123" s="37" t="s">
        <v>73</v>
      </c>
      <c r="G123" s="45">
        <f>48390696/D123/12</f>
        <v>25362</v>
      </c>
      <c r="H123" s="48">
        <f t="shared" si="1"/>
        <v>25362</v>
      </c>
    </row>
    <row r="124" spans="2:8" ht="15">
      <c r="B124" s="58" t="s">
        <v>171</v>
      </c>
      <c r="C124" s="59"/>
      <c r="D124" s="58">
        <v>6</v>
      </c>
      <c r="E124" s="60"/>
      <c r="F124" s="37" t="s">
        <v>73</v>
      </c>
      <c r="G124" s="45">
        <f>1826064/D124/12</f>
        <v>25362</v>
      </c>
      <c r="H124" s="48">
        <f t="shared" si="1"/>
        <v>25362</v>
      </c>
    </row>
    <row r="125" spans="2:8" ht="15">
      <c r="B125" s="58" t="s">
        <v>213</v>
      </c>
      <c r="C125" s="59"/>
      <c r="D125" s="58">
        <v>3</v>
      </c>
      <c r="E125" s="60"/>
      <c r="F125" s="37" t="s">
        <v>73</v>
      </c>
      <c r="G125" s="45">
        <f>1062216/D125/12</f>
        <v>29506</v>
      </c>
      <c r="H125" s="48">
        <f t="shared" si="1"/>
        <v>29506</v>
      </c>
    </row>
    <row r="126" spans="2:8" ht="15">
      <c r="B126" s="58" t="s">
        <v>214</v>
      </c>
      <c r="C126" s="59"/>
      <c r="D126" s="58">
        <v>73</v>
      </c>
      <c r="E126" s="60"/>
      <c r="F126" s="37" t="s">
        <v>73</v>
      </c>
      <c r="G126" s="45">
        <f>25847256/D126/12</f>
        <v>29506</v>
      </c>
      <c r="H126" s="48">
        <f t="shared" si="1"/>
        <v>29506</v>
      </c>
    </row>
    <row r="127" spans="2:8" ht="15">
      <c r="B127" s="58" t="s">
        <v>112</v>
      </c>
      <c r="C127" s="59"/>
      <c r="D127" s="58">
        <v>392</v>
      </c>
      <c r="E127" s="60"/>
      <c r="F127" s="37" t="s">
        <v>73</v>
      </c>
      <c r="G127" s="45">
        <f>138796224/D127/12</f>
        <v>29506</v>
      </c>
      <c r="H127" s="48">
        <f t="shared" si="1"/>
        <v>29506</v>
      </c>
    </row>
    <row r="128" spans="2:8" ht="15">
      <c r="B128" s="58" t="s">
        <v>215</v>
      </c>
      <c r="C128" s="59"/>
      <c r="D128" s="58">
        <v>18</v>
      </c>
      <c r="E128" s="60"/>
      <c r="F128" s="37" t="s">
        <v>73</v>
      </c>
      <c r="G128" s="45">
        <f>6373296/D128/12</f>
        <v>29506</v>
      </c>
      <c r="H128" s="48">
        <f t="shared" si="1"/>
        <v>29506</v>
      </c>
    </row>
    <row r="129" spans="2:8" ht="15">
      <c r="B129" s="58" t="s">
        <v>113</v>
      </c>
      <c r="C129" s="59"/>
      <c r="D129" s="58">
        <v>37</v>
      </c>
      <c r="E129" s="60"/>
      <c r="F129" s="37" t="s">
        <v>73</v>
      </c>
      <c r="G129" s="45">
        <f>13100664/D129/12</f>
        <v>29506</v>
      </c>
      <c r="H129" s="48">
        <f t="shared" si="1"/>
        <v>29506</v>
      </c>
    </row>
    <row r="130" spans="2:8" ht="15">
      <c r="B130" s="58" t="s">
        <v>216</v>
      </c>
      <c r="C130" s="59"/>
      <c r="D130" s="58">
        <v>3</v>
      </c>
      <c r="E130" s="60"/>
      <c r="F130" s="37" t="s">
        <v>73</v>
      </c>
      <c r="G130" s="45">
        <f>1062216/D130/12</f>
        <v>29506</v>
      </c>
      <c r="H130" s="48">
        <f t="shared" si="1"/>
        <v>29506</v>
      </c>
    </row>
    <row r="131" spans="2:8" ht="15">
      <c r="B131" s="58" t="s">
        <v>114</v>
      </c>
      <c r="C131" s="59"/>
      <c r="D131" s="58">
        <v>1</v>
      </c>
      <c r="E131" s="60"/>
      <c r="F131" s="37" t="s">
        <v>73</v>
      </c>
      <c r="G131" s="45">
        <f>337212/D131/12</f>
        <v>28101</v>
      </c>
      <c r="H131" s="48">
        <f t="shared" si="1"/>
        <v>28101</v>
      </c>
    </row>
    <row r="132" spans="2:8" ht="15">
      <c r="B132" s="58" t="s">
        <v>217</v>
      </c>
      <c r="C132" s="59"/>
      <c r="D132" s="58">
        <v>20</v>
      </c>
      <c r="E132" s="60"/>
      <c r="F132" s="37" t="s">
        <v>73</v>
      </c>
      <c r="G132" s="45">
        <f>7081440/D132/12</f>
        <v>29506</v>
      </c>
      <c r="H132" s="48">
        <f t="shared" si="1"/>
        <v>29506</v>
      </c>
    </row>
    <row r="133" spans="2:8" ht="15">
      <c r="B133" s="58" t="s">
        <v>218</v>
      </c>
      <c r="C133" s="59"/>
      <c r="D133" s="58">
        <v>15</v>
      </c>
      <c r="E133" s="60"/>
      <c r="F133" s="37" t="s">
        <v>73</v>
      </c>
      <c r="G133" s="45">
        <f>4370760/D133/12</f>
        <v>24282</v>
      </c>
      <c r="H133" s="48">
        <f t="shared" si="1"/>
        <v>24282</v>
      </c>
    </row>
    <row r="134" spans="2:8" ht="15">
      <c r="B134" s="58" t="s">
        <v>224</v>
      </c>
      <c r="C134" s="59"/>
      <c r="D134" s="58">
        <v>153</v>
      </c>
      <c r="E134" s="60"/>
      <c r="F134" s="53" t="s">
        <v>73</v>
      </c>
      <c r="G134" s="45">
        <f>50018148/D134/12</f>
        <v>27243</v>
      </c>
      <c r="H134" s="48">
        <f>+G134</f>
        <v>27243</v>
      </c>
    </row>
    <row r="135" spans="2:8" ht="15">
      <c r="B135" s="58" t="s">
        <v>105</v>
      </c>
      <c r="C135" s="59"/>
      <c r="D135" s="58">
        <v>1</v>
      </c>
      <c r="E135" s="60"/>
      <c r="F135" s="37" t="s">
        <v>73</v>
      </c>
      <c r="G135" s="45">
        <f>291384/D135/12</f>
        <v>24282</v>
      </c>
      <c r="H135" s="48">
        <f t="shared" si="1"/>
        <v>24282</v>
      </c>
    </row>
    <row r="136" spans="2:8" ht="15">
      <c r="B136" s="58" t="s">
        <v>106</v>
      </c>
      <c r="C136" s="59"/>
      <c r="D136" s="58">
        <v>2</v>
      </c>
      <c r="E136" s="60"/>
      <c r="F136" s="37" t="s">
        <v>73</v>
      </c>
      <c r="G136" s="45">
        <f>582768/D136/12</f>
        <v>24282</v>
      </c>
      <c r="H136" s="48">
        <f t="shared" si="1"/>
        <v>24282</v>
      </c>
    </row>
    <row r="137" spans="2:8" ht="15">
      <c r="B137" s="58" t="s">
        <v>219</v>
      </c>
      <c r="C137" s="59"/>
      <c r="D137" s="58">
        <v>51</v>
      </c>
      <c r="E137" s="60"/>
      <c r="F137" s="37" t="s">
        <v>73</v>
      </c>
      <c r="G137" s="45">
        <f>18057672/D137/12</f>
        <v>29506</v>
      </c>
      <c r="H137" s="48">
        <f t="shared" si="1"/>
        <v>29506</v>
      </c>
    </row>
    <row r="138" spans="2:8" ht="15">
      <c r="B138" s="58" t="s">
        <v>155</v>
      </c>
      <c r="C138" s="59"/>
      <c r="D138" s="58">
        <v>108</v>
      </c>
      <c r="E138" s="60"/>
      <c r="F138" s="37" t="s">
        <v>73</v>
      </c>
      <c r="G138" s="45">
        <f>35306928/D138/12</f>
        <v>27243</v>
      </c>
      <c r="H138" s="48">
        <f t="shared" si="1"/>
        <v>27243</v>
      </c>
    </row>
    <row r="139" spans="2:8" ht="15">
      <c r="B139" s="58" t="s">
        <v>115</v>
      </c>
      <c r="C139" s="59"/>
      <c r="D139" s="58">
        <v>1</v>
      </c>
      <c r="E139" s="60"/>
      <c r="F139" s="37" t="s">
        <v>73</v>
      </c>
      <c r="G139" s="45">
        <f>313500/D139/12</f>
        <v>26125</v>
      </c>
      <c r="H139" s="48">
        <f t="shared" si="1"/>
        <v>26125</v>
      </c>
    </row>
    <row r="140" spans="2:8" ht="15">
      <c r="B140" s="58" t="s">
        <v>116</v>
      </c>
      <c r="C140" s="59"/>
      <c r="D140" s="58">
        <v>27</v>
      </c>
      <c r="E140" s="60"/>
      <c r="F140" s="37" t="s">
        <v>73</v>
      </c>
      <c r="G140" s="45">
        <f>10285704/D140/12</f>
        <v>31746</v>
      </c>
      <c r="H140" s="48">
        <f t="shared" si="1"/>
        <v>31746</v>
      </c>
    </row>
    <row r="141" spans="2:8" ht="15">
      <c r="B141" s="58" t="s">
        <v>117</v>
      </c>
      <c r="C141" s="59"/>
      <c r="D141" s="58">
        <v>1</v>
      </c>
      <c r="E141" s="60"/>
      <c r="F141" s="37" t="s">
        <v>73</v>
      </c>
      <c r="G141" s="45">
        <f>380952/D141/12</f>
        <v>31746</v>
      </c>
      <c r="H141" s="48">
        <f t="shared" si="1"/>
        <v>31746</v>
      </c>
    </row>
    <row r="142" spans="2:8" ht="15">
      <c r="B142" s="58" t="s">
        <v>172</v>
      </c>
      <c r="C142" s="59"/>
      <c r="D142" s="58">
        <v>65</v>
      </c>
      <c r="E142" s="60"/>
      <c r="F142" s="37" t="s">
        <v>73</v>
      </c>
      <c r="G142" s="45">
        <f>22729200/D142/12</f>
        <v>29140</v>
      </c>
      <c r="H142" s="48">
        <f t="shared" si="1"/>
        <v>29140</v>
      </c>
    </row>
    <row r="143" spans="2:8" ht="15">
      <c r="B143" s="58" t="s">
        <v>156</v>
      </c>
      <c r="C143" s="59"/>
      <c r="D143" s="58">
        <v>115</v>
      </c>
      <c r="E143" s="60"/>
      <c r="F143" s="37" t="s">
        <v>73</v>
      </c>
      <c r="G143" s="45">
        <f>40213200/D143/12</f>
        <v>29140</v>
      </c>
      <c r="H143" s="48">
        <f aca="true" t="shared" si="2" ref="H143:H179">+G143</f>
        <v>29140</v>
      </c>
    </row>
    <row r="144" spans="2:8" ht="15">
      <c r="B144" s="58" t="s">
        <v>173</v>
      </c>
      <c r="C144" s="59"/>
      <c r="D144" s="58">
        <v>1</v>
      </c>
      <c r="E144" s="60"/>
      <c r="F144" s="37" t="s">
        <v>73</v>
      </c>
      <c r="G144" s="45">
        <f>349680/D144/12</f>
        <v>29140</v>
      </c>
      <c r="H144" s="48">
        <f t="shared" si="2"/>
        <v>29140</v>
      </c>
    </row>
    <row r="145" spans="2:8" ht="15">
      <c r="B145" s="58" t="s">
        <v>174</v>
      </c>
      <c r="C145" s="59"/>
      <c r="D145" s="58">
        <v>1</v>
      </c>
      <c r="E145" s="60"/>
      <c r="F145" s="37" t="s">
        <v>73</v>
      </c>
      <c r="G145" s="45">
        <f>349680/D145/12</f>
        <v>29140</v>
      </c>
      <c r="H145" s="48">
        <f t="shared" si="2"/>
        <v>29140</v>
      </c>
    </row>
    <row r="146" spans="2:8" ht="15">
      <c r="B146" s="58" t="s">
        <v>188</v>
      </c>
      <c r="C146" s="59"/>
      <c r="D146" s="58">
        <v>1</v>
      </c>
      <c r="E146" s="60"/>
      <c r="F146" s="37" t="s">
        <v>73</v>
      </c>
      <c r="G146" s="45">
        <f>349680/D146/12</f>
        <v>29140</v>
      </c>
      <c r="H146" s="48">
        <f t="shared" si="2"/>
        <v>29140</v>
      </c>
    </row>
    <row r="147" spans="2:8" ht="15">
      <c r="B147" s="58" t="s">
        <v>189</v>
      </c>
      <c r="C147" s="59"/>
      <c r="D147" s="58">
        <v>1</v>
      </c>
      <c r="E147" s="60"/>
      <c r="F147" s="37" t="s">
        <v>73</v>
      </c>
      <c r="G147" s="45">
        <f>349680/D147/12</f>
        <v>29140</v>
      </c>
      <c r="H147" s="48">
        <f t="shared" si="2"/>
        <v>29140</v>
      </c>
    </row>
    <row r="148" spans="2:8" ht="15">
      <c r="B148" s="58" t="s">
        <v>118</v>
      </c>
      <c r="C148" s="59"/>
      <c r="D148" s="58">
        <v>1</v>
      </c>
      <c r="E148" s="60"/>
      <c r="F148" s="37" t="s">
        <v>73</v>
      </c>
      <c r="G148" s="45">
        <f>387888/D148/12</f>
        <v>32324</v>
      </c>
      <c r="H148" s="48">
        <f t="shared" si="2"/>
        <v>32324</v>
      </c>
    </row>
    <row r="149" spans="2:8" ht="15">
      <c r="B149" s="58" t="s">
        <v>308</v>
      </c>
      <c r="C149" s="59"/>
      <c r="D149" s="58">
        <v>211</v>
      </c>
      <c r="E149" s="60"/>
      <c r="F149" s="37" t="s">
        <v>73</v>
      </c>
      <c r="G149" s="45">
        <f>85936080/D149/12</f>
        <v>33940</v>
      </c>
      <c r="H149" s="48">
        <f t="shared" si="2"/>
        <v>33940</v>
      </c>
    </row>
    <row r="150" spans="2:8" ht="15">
      <c r="B150" s="58" t="s">
        <v>223</v>
      </c>
      <c r="C150" s="59"/>
      <c r="D150" s="58">
        <v>1</v>
      </c>
      <c r="E150" s="60"/>
      <c r="F150" s="54" t="s">
        <v>73</v>
      </c>
      <c r="G150" s="45">
        <f>407280/D150/12</f>
        <v>33940</v>
      </c>
      <c r="H150" s="48">
        <f>+G150</f>
        <v>33940</v>
      </c>
    </row>
    <row r="151" spans="2:8" ht="15">
      <c r="B151" s="58" t="s">
        <v>119</v>
      </c>
      <c r="C151" s="59"/>
      <c r="D151" s="58">
        <v>4</v>
      </c>
      <c r="E151" s="60"/>
      <c r="F151" s="37" t="s">
        <v>73</v>
      </c>
      <c r="G151" s="45">
        <f>1629120/D151/12</f>
        <v>33940</v>
      </c>
      <c r="H151" s="48">
        <f t="shared" si="2"/>
        <v>33940</v>
      </c>
    </row>
    <row r="152" spans="2:8" ht="15">
      <c r="B152" s="58" t="s">
        <v>120</v>
      </c>
      <c r="C152" s="59"/>
      <c r="D152" s="58">
        <v>94</v>
      </c>
      <c r="E152" s="60"/>
      <c r="F152" s="37" t="s">
        <v>73</v>
      </c>
      <c r="G152" s="45">
        <f>38284320/D152/12</f>
        <v>33940</v>
      </c>
      <c r="H152" s="48">
        <f t="shared" si="2"/>
        <v>33940</v>
      </c>
    </row>
    <row r="153" spans="2:8" ht="15">
      <c r="B153" s="58" t="s">
        <v>121</v>
      </c>
      <c r="C153" s="59"/>
      <c r="D153" s="58">
        <v>1</v>
      </c>
      <c r="E153" s="60"/>
      <c r="F153" s="37" t="s">
        <v>73</v>
      </c>
      <c r="G153" s="45">
        <f>335160/D153/12</f>
        <v>27930</v>
      </c>
      <c r="H153" s="48">
        <f t="shared" si="2"/>
        <v>27930</v>
      </c>
    </row>
    <row r="154" spans="2:8" ht="15">
      <c r="B154" s="58" t="s">
        <v>175</v>
      </c>
      <c r="C154" s="59"/>
      <c r="D154" s="58">
        <v>1</v>
      </c>
      <c r="E154" s="60"/>
      <c r="F154" s="37" t="s">
        <v>73</v>
      </c>
      <c r="G154" s="45">
        <f>335160/D154/12</f>
        <v>27930</v>
      </c>
      <c r="H154" s="48">
        <f t="shared" si="2"/>
        <v>27930</v>
      </c>
    </row>
    <row r="155" spans="2:8" ht="15">
      <c r="B155" s="58" t="s">
        <v>176</v>
      </c>
      <c r="C155" s="59"/>
      <c r="D155" s="58">
        <v>15</v>
      </c>
      <c r="E155" s="60"/>
      <c r="F155" s="37" t="s">
        <v>73</v>
      </c>
      <c r="G155" s="45">
        <f>5622840/D155/12</f>
        <v>31238</v>
      </c>
      <c r="H155" s="48">
        <f t="shared" si="2"/>
        <v>31238</v>
      </c>
    </row>
    <row r="156" spans="2:8" ht="15">
      <c r="B156" s="58" t="s">
        <v>157</v>
      </c>
      <c r="C156" s="59"/>
      <c r="D156" s="58">
        <v>26</v>
      </c>
      <c r="E156" s="60"/>
      <c r="F156" s="37" t="s">
        <v>73</v>
      </c>
      <c r="G156" s="45">
        <f>9746256/D156/12</f>
        <v>31238</v>
      </c>
      <c r="H156" s="48">
        <f t="shared" si="2"/>
        <v>31238</v>
      </c>
    </row>
    <row r="157" spans="2:8" ht="15">
      <c r="B157" s="58" t="s">
        <v>177</v>
      </c>
      <c r="C157" s="59"/>
      <c r="D157" s="58">
        <v>4</v>
      </c>
      <c r="E157" s="60"/>
      <c r="F157" s="37" t="s">
        <v>73</v>
      </c>
      <c r="G157" s="45">
        <f>1499424/D157/12</f>
        <v>31238</v>
      </c>
      <c r="H157" s="48">
        <f t="shared" si="2"/>
        <v>31238</v>
      </c>
    </row>
    <row r="158" spans="2:8" ht="15">
      <c r="B158" s="58" t="s">
        <v>309</v>
      </c>
      <c r="C158" s="59"/>
      <c r="D158" s="58">
        <v>2</v>
      </c>
      <c r="E158" s="60"/>
      <c r="F158" s="54" t="s">
        <v>73</v>
      </c>
      <c r="G158" s="45">
        <f>876192/D158/12</f>
        <v>36508</v>
      </c>
      <c r="H158" s="48">
        <f>+G158</f>
        <v>36508</v>
      </c>
    </row>
    <row r="159" spans="2:8" ht="15">
      <c r="B159" s="58" t="s">
        <v>122</v>
      </c>
      <c r="C159" s="59"/>
      <c r="D159" s="58">
        <v>34</v>
      </c>
      <c r="E159" s="60"/>
      <c r="F159" s="37" t="s">
        <v>73</v>
      </c>
      <c r="G159" s="45">
        <f>14895264/D159/12</f>
        <v>36508</v>
      </c>
      <c r="H159" s="48">
        <f t="shared" si="2"/>
        <v>36508</v>
      </c>
    </row>
    <row r="160" spans="2:8" ht="15">
      <c r="B160" s="58" t="s">
        <v>123</v>
      </c>
      <c r="C160" s="59"/>
      <c r="D160" s="58">
        <v>9</v>
      </c>
      <c r="E160" s="60"/>
      <c r="F160" s="37" t="s">
        <v>73</v>
      </c>
      <c r="G160" s="45">
        <f>3942864/D160/12</f>
        <v>36508</v>
      </c>
      <c r="H160" s="48">
        <f t="shared" si="2"/>
        <v>36508</v>
      </c>
    </row>
    <row r="161" spans="2:8" ht="15">
      <c r="B161" s="58" t="s">
        <v>124</v>
      </c>
      <c r="C161" s="59"/>
      <c r="D161" s="58">
        <v>3</v>
      </c>
      <c r="E161" s="60"/>
      <c r="F161" s="37" t="s">
        <v>73</v>
      </c>
      <c r="G161" s="45">
        <f>1081584/D161/12</f>
        <v>30044</v>
      </c>
      <c r="H161" s="48">
        <f t="shared" si="2"/>
        <v>30044</v>
      </c>
    </row>
    <row r="162" spans="2:8" ht="15">
      <c r="B162" s="58" t="s">
        <v>125</v>
      </c>
      <c r="C162" s="59"/>
      <c r="D162" s="58">
        <v>1</v>
      </c>
      <c r="E162" s="60"/>
      <c r="F162" s="37" t="s">
        <v>73</v>
      </c>
      <c r="G162" s="45">
        <f>438096/D162/12</f>
        <v>36508</v>
      </c>
      <c r="H162" s="48">
        <f t="shared" si="2"/>
        <v>36508</v>
      </c>
    </row>
    <row r="163" spans="2:8" ht="15">
      <c r="B163" s="58" t="s">
        <v>126</v>
      </c>
      <c r="C163" s="59"/>
      <c r="D163" s="58">
        <v>417</v>
      </c>
      <c r="E163" s="60"/>
      <c r="F163" s="37" t="s">
        <v>73</v>
      </c>
      <c r="G163" s="45">
        <f>182686032/D163/12</f>
        <v>36508</v>
      </c>
      <c r="H163" s="48">
        <f t="shared" si="2"/>
        <v>36508</v>
      </c>
    </row>
    <row r="164" spans="2:8" ht="15">
      <c r="B164" s="58" t="s">
        <v>127</v>
      </c>
      <c r="C164" s="59"/>
      <c r="D164" s="58">
        <v>1</v>
      </c>
      <c r="E164" s="60"/>
      <c r="F164" s="37" t="s">
        <v>73</v>
      </c>
      <c r="G164" s="45">
        <f>438096/D164/12</f>
        <v>36508</v>
      </c>
      <c r="H164" s="48">
        <f t="shared" si="2"/>
        <v>36508</v>
      </c>
    </row>
    <row r="165" spans="2:8" ht="15">
      <c r="B165" s="58" t="s">
        <v>220</v>
      </c>
      <c r="C165" s="59"/>
      <c r="D165" s="58">
        <v>14</v>
      </c>
      <c r="E165" s="60"/>
      <c r="F165" s="37" t="s">
        <v>73</v>
      </c>
      <c r="G165" s="45">
        <f>5619600/D165/12</f>
        <v>33450</v>
      </c>
      <c r="H165" s="48">
        <f t="shared" si="2"/>
        <v>33450</v>
      </c>
    </row>
    <row r="166" spans="2:8" ht="15">
      <c r="B166" s="58" t="s">
        <v>128</v>
      </c>
      <c r="C166" s="59"/>
      <c r="D166" s="58">
        <v>11</v>
      </c>
      <c r="E166" s="60"/>
      <c r="F166" s="37" t="s">
        <v>73</v>
      </c>
      <c r="G166" s="45">
        <f>3965808/D166/12</f>
        <v>30044</v>
      </c>
      <c r="H166" s="48">
        <f t="shared" si="2"/>
        <v>30044</v>
      </c>
    </row>
    <row r="167" spans="2:8" ht="15">
      <c r="B167" s="58" t="s">
        <v>129</v>
      </c>
      <c r="C167" s="59"/>
      <c r="D167" s="58">
        <v>19</v>
      </c>
      <c r="E167" s="60"/>
      <c r="F167" s="37" t="s">
        <v>73</v>
      </c>
      <c r="G167" s="45">
        <f>6850032/D167/12</f>
        <v>30044</v>
      </c>
      <c r="H167" s="48">
        <f t="shared" si="2"/>
        <v>30044</v>
      </c>
    </row>
    <row r="168" spans="2:8" ht="15">
      <c r="B168" s="58" t="s">
        <v>130</v>
      </c>
      <c r="C168" s="59"/>
      <c r="D168" s="58">
        <v>1</v>
      </c>
      <c r="E168" s="60"/>
      <c r="F168" s="37" t="s">
        <v>73</v>
      </c>
      <c r="G168" s="45">
        <f>360528/D168/12</f>
        <v>30044</v>
      </c>
      <c r="H168" s="48">
        <f t="shared" si="2"/>
        <v>30044</v>
      </c>
    </row>
    <row r="169" spans="2:8" ht="15">
      <c r="B169" s="58" t="s">
        <v>178</v>
      </c>
      <c r="C169" s="59"/>
      <c r="D169" s="58">
        <v>8</v>
      </c>
      <c r="E169" s="60"/>
      <c r="F169" s="37" t="s">
        <v>73</v>
      </c>
      <c r="G169" s="45">
        <f>3211200/D169/12</f>
        <v>33450</v>
      </c>
      <c r="H169" s="48">
        <f t="shared" si="2"/>
        <v>33450</v>
      </c>
    </row>
    <row r="170" spans="2:8" ht="15">
      <c r="B170" s="58" t="s">
        <v>131</v>
      </c>
      <c r="C170" s="59"/>
      <c r="D170" s="58">
        <v>3</v>
      </c>
      <c r="E170" s="60"/>
      <c r="F170" s="37" t="s">
        <v>73</v>
      </c>
      <c r="G170" s="45">
        <f>1314288/D170/12</f>
        <v>36508</v>
      </c>
      <c r="H170" s="48">
        <f t="shared" si="2"/>
        <v>36508</v>
      </c>
    </row>
    <row r="171" spans="2:8" ht="15">
      <c r="B171" s="58" t="s">
        <v>179</v>
      </c>
      <c r="C171" s="59"/>
      <c r="D171" s="58">
        <v>1</v>
      </c>
      <c r="E171" s="60"/>
      <c r="F171" s="37" t="s">
        <v>73</v>
      </c>
      <c r="G171" s="45">
        <f>401400/D171/12</f>
        <v>33450</v>
      </c>
      <c r="H171" s="48">
        <f t="shared" si="2"/>
        <v>33450</v>
      </c>
    </row>
    <row r="172" spans="2:8" ht="15">
      <c r="B172" s="58" t="s">
        <v>198</v>
      </c>
      <c r="C172" s="59"/>
      <c r="D172" s="58">
        <v>1</v>
      </c>
      <c r="E172" s="60"/>
      <c r="F172" s="42" t="s">
        <v>73</v>
      </c>
      <c r="G172" s="45">
        <f>438096/D172/12</f>
        <v>36508</v>
      </c>
      <c r="H172" s="48">
        <f t="shared" si="2"/>
        <v>36508</v>
      </c>
    </row>
    <row r="173" spans="2:8" ht="15">
      <c r="B173" s="58" t="s">
        <v>310</v>
      </c>
      <c r="C173" s="59"/>
      <c r="D173" s="58">
        <v>1</v>
      </c>
      <c r="E173" s="60"/>
      <c r="F173" s="54" t="s">
        <v>73</v>
      </c>
      <c r="G173" s="45">
        <f>401400/D173/12</f>
        <v>33450</v>
      </c>
      <c r="H173" s="48">
        <f>+G173</f>
        <v>33450</v>
      </c>
    </row>
    <row r="174" spans="2:8" ht="15">
      <c r="B174" s="58" t="s">
        <v>222</v>
      </c>
      <c r="C174" s="59"/>
      <c r="D174" s="58">
        <v>54</v>
      </c>
      <c r="E174" s="60"/>
      <c r="F174" s="37" t="s">
        <v>73</v>
      </c>
      <c r="G174" s="45">
        <f>23657184/D174/12</f>
        <v>36508</v>
      </c>
      <c r="H174" s="48">
        <f t="shared" si="2"/>
        <v>36508</v>
      </c>
    </row>
    <row r="175" spans="2:8" ht="15">
      <c r="B175" s="58" t="s">
        <v>223</v>
      </c>
      <c r="C175" s="59"/>
      <c r="D175" s="58">
        <v>19</v>
      </c>
      <c r="E175" s="60"/>
      <c r="F175" s="37" t="s">
        <v>73</v>
      </c>
      <c r="G175" s="45">
        <f>8323824/D175/12</f>
        <v>36508</v>
      </c>
      <c r="H175" s="48">
        <f t="shared" si="2"/>
        <v>36508</v>
      </c>
    </row>
    <row r="176" spans="2:8" ht="15">
      <c r="B176" s="58" t="s">
        <v>132</v>
      </c>
      <c r="C176" s="59"/>
      <c r="D176" s="58">
        <v>5</v>
      </c>
      <c r="E176" s="60"/>
      <c r="F176" s="37" t="s">
        <v>73</v>
      </c>
      <c r="G176" s="45">
        <f>2190480/D176/12</f>
        <v>36508</v>
      </c>
      <c r="H176" s="48">
        <f t="shared" si="2"/>
        <v>36508</v>
      </c>
    </row>
    <row r="177" spans="2:8" ht="15">
      <c r="B177" s="58" t="s">
        <v>221</v>
      </c>
      <c r="C177" s="59"/>
      <c r="D177" s="58">
        <v>61</v>
      </c>
      <c r="E177" s="60"/>
      <c r="F177" s="37" t="s">
        <v>73</v>
      </c>
      <c r="G177" s="45">
        <f>24485400/D177/12</f>
        <v>33450</v>
      </c>
      <c r="H177" s="48">
        <f t="shared" si="2"/>
        <v>33450</v>
      </c>
    </row>
    <row r="178" spans="2:8" ht="15">
      <c r="B178" s="58" t="s">
        <v>311</v>
      </c>
      <c r="C178" s="59"/>
      <c r="D178" s="58">
        <v>108</v>
      </c>
      <c r="E178" s="60"/>
      <c r="F178" s="37" t="s">
        <v>73</v>
      </c>
      <c r="G178" s="45">
        <f>47314368/D178/12</f>
        <v>36508</v>
      </c>
      <c r="H178" s="48">
        <f t="shared" si="2"/>
        <v>36508</v>
      </c>
    </row>
    <row r="179" spans="2:8" ht="15">
      <c r="B179" s="58" t="s">
        <v>180</v>
      </c>
      <c r="C179" s="59"/>
      <c r="D179" s="58">
        <v>1</v>
      </c>
      <c r="E179" s="60"/>
      <c r="F179" s="37" t="s">
        <v>73</v>
      </c>
      <c r="G179" s="45">
        <f>401400/D179/12</f>
        <v>33450</v>
      </c>
      <c r="H179" s="48">
        <f t="shared" si="2"/>
        <v>33450</v>
      </c>
    </row>
    <row r="180" spans="2:8" ht="15">
      <c r="B180" s="58" t="s">
        <v>133</v>
      </c>
      <c r="C180" s="60"/>
      <c r="D180" s="64">
        <v>312</v>
      </c>
      <c r="E180" s="76"/>
      <c r="F180" s="64"/>
      <c r="G180" s="62"/>
      <c r="H180" s="62">
        <v>29835</v>
      </c>
    </row>
    <row r="181" spans="2:8" ht="15">
      <c r="B181" s="58" t="s">
        <v>134</v>
      </c>
      <c r="C181" s="60"/>
      <c r="D181" s="64"/>
      <c r="E181" s="76"/>
      <c r="F181" s="64"/>
      <c r="G181" s="62"/>
      <c r="H181" s="62"/>
    </row>
    <row r="182" spans="2:8" ht="15">
      <c r="B182" s="58" t="s">
        <v>135</v>
      </c>
      <c r="C182" s="59"/>
      <c r="D182" s="64"/>
      <c r="E182" s="76"/>
      <c r="F182" s="64"/>
      <c r="G182" s="62"/>
      <c r="H182" s="62"/>
    </row>
    <row r="183" spans="2:8" ht="15">
      <c r="B183" s="58" t="s">
        <v>136</v>
      </c>
      <c r="C183" s="59"/>
      <c r="D183" s="64"/>
      <c r="E183" s="76"/>
      <c r="F183" s="64"/>
      <c r="G183" s="62"/>
      <c r="H183" s="62"/>
    </row>
    <row r="184" spans="2:8" ht="15">
      <c r="B184" s="58" t="s">
        <v>181</v>
      </c>
      <c r="C184" s="59"/>
      <c r="D184" s="64"/>
      <c r="E184" s="76"/>
      <c r="F184" s="64"/>
      <c r="G184" s="62"/>
      <c r="H184" s="62"/>
    </row>
    <row r="185" spans="2:8" ht="15">
      <c r="B185" s="58" t="s">
        <v>312</v>
      </c>
      <c r="C185" s="59"/>
      <c r="D185" s="64"/>
      <c r="E185" s="76"/>
      <c r="F185" s="64"/>
      <c r="G185" s="62"/>
      <c r="H185" s="62"/>
    </row>
    <row r="186" spans="2:8" ht="15">
      <c r="B186" s="58" t="s">
        <v>137</v>
      </c>
      <c r="C186" s="59"/>
      <c r="D186" s="64"/>
      <c r="E186" s="76"/>
      <c r="F186" s="64"/>
      <c r="G186" s="62"/>
      <c r="H186" s="62"/>
    </row>
    <row r="187" spans="2:8" ht="15">
      <c r="B187" s="58" t="s">
        <v>313</v>
      </c>
      <c r="C187" s="59"/>
      <c r="D187" s="64"/>
      <c r="E187" s="76"/>
      <c r="F187" s="64"/>
      <c r="G187" s="62"/>
      <c r="H187" s="62"/>
    </row>
    <row r="188" spans="2:8" ht="15">
      <c r="B188" s="58" t="s">
        <v>314</v>
      </c>
      <c r="C188" s="59"/>
      <c r="D188" s="64"/>
      <c r="E188" s="76"/>
      <c r="F188" s="64"/>
      <c r="G188" s="62"/>
      <c r="H188" s="62"/>
    </row>
    <row r="189" spans="2:8" ht="15">
      <c r="B189" s="58" t="s">
        <v>315</v>
      </c>
      <c r="C189" s="59"/>
      <c r="D189" s="64">
        <v>229</v>
      </c>
      <c r="E189" s="76"/>
      <c r="F189" s="58"/>
      <c r="G189" s="63"/>
      <c r="H189" s="62">
        <v>32652.14</v>
      </c>
    </row>
    <row r="190" spans="2:8" ht="15">
      <c r="B190" s="58" t="s">
        <v>138</v>
      </c>
      <c r="C190" s="59"/>
      <c r="D190" s="64"/>
      <c r="E190" s="76"/>
      <c r="F190" s="58"/>
      <c r="G190" s="63"/>
      <c r="H190" s="62"/>
    </row>
    <row r="191" spans="2:8" ht="15">
      <c r="B191" s="58" t="s">
        <v>139</v>
      </c>
      <c r="C191" s="59"/>
      <c r="D191" s="64"/>
      <c r="E191" s="76"/>
      <c r="F191" s="58"/>
      <c r="G191" s="63"/>
      <c r="H191" s="62"/>
    </row>
    <row r="192" spans="2:8" ht="15">
      <c r="B192" s="58" t="s">
        <v>140</v>
      </c>
      <c r="C192" s="59"/>
      <c r="D192" s="64"/>
      <c r="E192" s="76"/>
      <c r="F192" s="58"/>
      <c r="G192" s="63"/>
      <c r="H192" s="62"/>
    </row>
    <row r="193" spans="2:8" ht="15">
      <c r="B193" s="58" t="s">
        <v>141</v>
      </c>
      <c r="C193" s="59"/>
      <c r="D193" s="64"/>
      <c r="E193" s="76"/>
      <c r="F193" s="58"/>
      <c r="G193" s="63"/>
      <c r="H193" s="62"/>
    </row>
    <row r="194" spans="2:8" ht="15">
      <c r="B194" s="58" t="s">
        <v>142</v>
      </c>
      <c r="C194" s="59"/>
      <c r="D194" s="64"/>
      <c r="E194" s="76"/>
      <c r="F194" s="58"/>
      <c r="G194" s="63"/>
      <c r="H194" s="62"/>
    </row>
    <row r="195" spans="2:8" ht="15">
      <c r="B195" s="58" t="s">
        <v>143</v>
      </c>
      <c r="C195" s="59"/>
      <c r="D195" s="64"/>
      <c r="E195" s="76"/>
      <c r="F195" s="58"/>
      <c r="G195" s="63"/>
      <c r="H195" s="62"/>
    </row>
    <row r="196" spans="2:8" ht="15">
      <c r="B196" s="58" t="s">
        <v>144</v>
      </c>
      <c r="C196" s="59"/>
      <c r="D196" s="64">
        <v>94</v>
      </c>
      <c r="E196" s="76"/>
      <c r="F196" s="61"/>
      <c r="G196" s="63"/>
      <c r="H196" s="62">
        <v>38573.38</v>
      </c>
    </row>
    <row r="197" spans="2:8" ht="15">
      <c r="B197" s="58" t="s">
        <v>145</v>
      </c>
      <c r="C197" s="59"/>
      <c r="D197" s="64"/>
      <c r="E197" s="76"/>
      <c r="F197" s="61"/>
      <c r="G197" s="63"/>
      <c r="H197" s="62"/>
    </row>
    <row r="198" spans="2:8" ht="15">
      <c r="B198" s="58" t="s">
        <v>146</v>
      </c>
      <c r="C198" s="59"/>
      <c r="D198" s="64"/>
      <c r="E198" s="76"/>
      <c r="F198" s="61"/>
      <c r="G198" s="63"/>
      <c r="H198" s="62"/>
    </row>
    <row r="199" spans="2:8" ht="15">
      <c r="B199" s="58" t="s">
        <v>147</v>
      </c>
      <c r="C199" s="59"/>
      <c r="D199" s="64"/>
      <c r="E199" s="76"/>
      <c r="F199" s="61"/>
      <c r="G199" s="63"/>
      <c r="H199" s="62"/>
    </row>
    <row r="200" spans="2:8" ht="15">
      <c r="B200" s="58" t="s">
        <v>148</v>
      </c>
      <c r="C200" s="59"/>
      <c r="D200" s="64"/>
      <c r="E200" s="76"/>
      <c r="F200" s="61"/>
      <c r="G200" s="63"/>
      <c r="H200" s="62"/>
    </row>
    <row r="201" spans="2:8" ht="15">
      <c r="B201" s="58" t="s">
        <v>316</v>
      </c>
      <c r="C201" s="59"/>
      <c r="D201" s="64"/>
      <c r="E201" s="76"/>
      <c r="F201" s="61"/>
      <c r="G201" s="63"/>
      <c r="H201" s="62"/>
    </row>
    <row r="202" spans="2:8" ht="15">
      <c r="B202" s="58" t="s">
        <v>225</v>
      </c>
      <c r="C202" s="60"/>
      <c r="D202" s="64"/>
      <c r="E202" s="76"/>
      <c r="F202" s="61"/>
      <c r="G202" s="63"/>
      <c r="H202" s="62"/>
    </row>
    <row r="203" spans="2:8" ht="15">
      <c r="B203" s="58" t="s">
        <v>149</v>
      </c>
      <c r="C203" s="59"/>
      <c r="D203" s="64">
        <v>18</v>
      </c>
      <c r="E203" s="76"/>
      <c r="F203" s="61"/>
      <c r="G203" s="63"/>
      <c r="H203" s="62">
        <v>38828.78</v>
      </c>
    </row>
    <row r="204" spans="2:8" ht="15">
      <c r="B204" s="58" t="s">
        <v>150</v>
      </c>
      <c r="C204" s="59"/>
      <c r="D204" s="64"/>
      <c r="E204" s="76"/>
      <c r="F204" s="61"/>
      <c r="G204" s="63"/>
      <c r="H204" s="62"/>
    </row>
    <row r="205" spans="2:8" ht="15">
      <c r="B205" s="58" t="s">
        <v>317</v>
      </c>
      <c r="C205" s="59"/>
      <c r="D205" s="64"/>
      <c r="E205" s="76"/>
      <c r="F205" s="61"/>
      <c r="G205" s="63"/>
      <c r="H205" s="62"/>
    </row>
    <row r="206" spans="2:8" ht="15">
      <c r="B206" s="58" t="s">
        <v>151</v>
      </c>
      <c r="C206" s="59"/>
      <c r="D206" s="64"/>
      <c r="E206" s="76"/>
      <c r="F206" s="61"/>
      <c r="G206" s="63"/>
      <c r="H206" s="62"/>
    </row>
    <row r="207" spans="2:8" ht="15">
      <c r="B207" s="58" t="s">
        <v>152</v>
      </c>
      <c r="C207" s="59"/>
      <c r="D207" s="64">
        <v>20</v>
      </c>
      <c r="E207" s="76"/>
      <c r="F207" s="61"/>
      <c r="G207" s="63"/>
      <c r="H207" s="62">
        <v>39084</v>
      </c>
    </row>
    <row r="208" spans="2:8" ht="15">
      <c r="B208" s="58" t="s">
        <v>153</v>
      </c>
      <c r="C208" s="59"/>
      <c r="D208" s="64"/>
      <c r="E208" s="76"/>
      <c r="F208" s="61"/>
      <c r="G208" s="63"/>
      <c r="H208" s="62"/>
    </row>
    <row r="209" spans="2:8" ht="15">
      <c r="B209" s="58" t="s">
        <v>318</v>
      </c>
      <c r="C209" s="60"/>
      <c r="D209" s="64"/>
      <c r="E209" s="76"/>
      <c r="F209" s="61"/>
      <c r="G209" s="63"/>
      <c r="H209" s="62"/>
    </row>
    <row r="210" spans="2:8" ht="15">
      <c r="B210" s="58" t="s">
        <v>319</v>
      </c>
      <c r="C210" s="60"/>
      <c r="D210" s="64"/>
      <c r="E210" s="76"/>
      <c r="F210" s="61"/>
      <c r="G210" s="63"/>
      <c r="H210" s="62"/>
    </row>
    <row r="211" spans="2:8" ht="15">
      <c r="B211" s="58" t="s">
        <v>154</v>
      </c>
      <c r="C211" s="59"/>
      <c r="D211" s="64"/>
      <c r="E211" s="76"/>
      <c r="F211" s="61"/>
      <c r="G211" s="63"/>
      <c r="H211" s="62"/>
    </row>
    <row r="212" spans="2:8" ht="15">
      <c r="B212" s="58" t="s">
        <v>182</v>
      </c>
      <c r="C212" s="60"/>
      <c r="D212" s="64"/>
      <c r="E212" s="76"/>
      <c r="F212" s="61"/>
      <c r="G212" s="63"/>
      <c r="H212" s="62"/>
    </row>
    <row r="213" spans="2:8" ht="15.75" thickBot="1">
      <c r="B213" s="70" t="s">
        <v>183</v>
      </c>
      <c r="C213" s="71"/>
      <c r="D213" s="70">
        <v>1</v>
      </c>
      <c r="E213" s="72"/>
      <c r="F213" s="40" t="s">
        <v>73</v>
      </c>
      <c r="G213" s="51"/>
      <c r="H213" s="49">
        <v>46609</v>
      </c>
    </row>
  </sheetData>
  <sheetProtection/>
  <mergeCells count="407">
    <mergeCell ref="B208:C208"/>
    <mergeCell ref="B187:C187"/>
    <mergeCell ref="B190:C190"/>
    <mergeCell ref="B200:C200"/>
    <mergeCell ref="B201:C201"/>
    <mergeCell ref="B205:C205"/>
    <mergeCell ref="D150:E150"/>
    <mergeCell ref="B158:C158"/>
    <mergeCell ref="D158:E158"/>
    <mergeCell ref="B173:C173"/>
    <mergeCell ref="D173:E173"/>
    <mergeCell ref="B186:C186"/>
    <mergeCell ref="B22:C22"/>
    <mergeCell ref="D22:E22"/>
    <mergeCell ref="B27:C27"/>
    <mergeCell ref="D27:E27"/>
    <mergeCell ref="B84:C84"/>
    <mergeCell ref="D84:E84"/>
    <mergeCell ref="B178:C178"/>
    <mergeCell ref="B139:C139"/>
    <mergeCell ref="B144:C144"/>
    <mergeCell ref="B147:C147"/>
    <mergeCell ref="B167:C167"/>
    <mergeCell ref="D166:E166"/>
    <mergeCell ref="B175:C175"/>
    <mergeCell ref="D175:E175"/>
    <mergeCell ref="B176:C176"/>
    <mergeCell ref="D176:E176"/>
    <mergeCell ref="D106:E106"/>
    <mergeCell ref="B109:C109"/>
    <mergeCell ref="D109:E109"/>
    <mergeCell ref="B108:C108"/>
    <mergeCell ref="D108:E108"/>
    <mergeCell ref="D142:E142"/>
    <mergeCell ref="B130:C130"/>
    <mergeCell ref="D130:E130"/>
    <mergeCell ref="D136:E136"/>
    <mergeCell ref="B132:C132"/>
    <mergeCell ref="D207:E212"/>
    <mergeCell ref="B19:C19"/>
    <mergeCell ref="D19:E19"/>
    <mergeCell ref="B20:C20"/>
    <mergeCell ref="D20:E20"/>
    <mergeCell ref="B34:C34"/>
    <mergeCell ref="D34:E34"/>
    <mergeCell ref="B35:C35"/>
    <mergeCell ref="D35:E35"/>
    <mergeCell ref="B36:C36"/>
    <mergeCell ref="B202:C202"/>
    <mergeCell ref="B203:C203"/>
    <mergeCell ref="B212:C212"/>
    <mergeCell ref="B213:C213"/>
    <mergeCell ref="B204:C204"/>
    <mergeCell ref="B206:C206"/>
    <mergeCell ref="B207:C207"/>
    <mergeCell ref="B210:C210"/>
    <mergeCell ref="B211:C211"/>
    <mergeCell ref="H207:H212"/>
    <mergeCell ref="D213:E213"/>
    <mergeCell ref="B184:C184"/>
    <mergeCell ref="B188:C188"/>
    <mergeCell ref="B189:C189"/>
    <mergeCell ref="D189:E195"/>
    <mergeCell ref="F189:F195"/>
    <mergeCell ref="H189:H195"/>
    <mergeCell ref="B191:C191"/>
    <mergeCell ref="D196:E202"/>
    <mergeCell ref="H196:H202"/>
    <mergeCell ref="D203:E206"/>
    <mergeCell ref="H203:H206"/>
    <mergeCell ref="B182:C182"/>
    <mergeCell ref="B183:C183"/>
    <mergeCell ref="B192:C192"/>
    <mergeCell ref="B193:C193"/>
    <mergeCell ref="B194:C194"/>
    <mergeCell ref="B195:C195"/>
    <mergeCell ref="B196:C196"/>
    <mergeCell ref="B180:C180"/>
    <mergeCell ref="B181:C181"/>
    <mergeCell ref="B179:C179"/>
    <mergeCell ref="D179:E179"/>
    <mergeCell ref="D180:E188"/>
    <mergeCell ref="B209:C209"/>
    <mergeCell ref="B185:C185"/>
    <mergeCell ref="B197:C197"/>
    <mergeCell ref="B198:C198"/>
    <mergeCell ref="B199:C199"/>
    <mergeCell ref="B168:C168"/>
    <mergeCell ref="D168:E168"/>
    <mergeCell ref="B170:C170"/>
    <mergeCell ref="D170:E170"/>
    <mergeCell ref="D169:E169"/>
    <mergeCell ref="B172:C172"/>
    <mergeCell ref="B171:C171"/>
    <mergeCell ref="D171:E171"/>
    <mergeCell ref="B164:C164"/>
    <mergeCell ref="D164:E164"/>
    <mergeCell ref="B166:C166"/>
    <mergeCell ref="D174:E174"/>
    <mergeCell ref="D172:E172"/>
    <mergeCell ref="B161:C161"/>
    <mergeCell ref="D161:E161"/>
    <mergeCell ref="D167:E167"/>
    <mergeCell ref="B162:C162"/>
    <mergeCell ref="D162:E162"/>
    <mergeCell ref="B160:C160"/>
    <mergeCell ref="B163:C163"/>
    <mergeCell ref="D163:E163"/>
    <mergeCell ref="B142:C142"/>
    <mergeCell ref="B159:C159"/>
    <mergeCell ref="D159:E159"/>
    <mergeCell ref="B156:C156"/>
    <mergeCell ref="D156:E156"/>
    <mergeCell ref="B157:C157"/>
    <mergeCell ref="B150:C150"/>
    <mergeCell ref="B143:C143"/>
    <mergeCell ref="B137:C137"/>
    <mergeCell ref="D137:E137"/>
    <mergeCell ref="D144:E144"/>
    <mergeCell ref="B152:C152"/>
    <mergeCell ref="D152:E152"/>
    <mergeCell ref="D151:E151"/>
    <mergeCell ref="B145:C145"/>
    <mergeCell ref="D140:E140"/>
    <mergeCell ref="B141:C141"/>
    <mergeCell ref="D141:E141"/>
    <mergeCell ref="B133:C133"/>
    <mergeCell ref="D133:E133"/>
    <mergeCell ref="B135:C135"/>
    <mergeCell ref="D135:E135"/>
    <mergeCell ref="B136:C136"/>
    <mergeCell ref="B127:C127"/>
    <mergeCell ref="D127:E127"/>
    <mergeCell ref="B128:C128"/>
    <mergeCell ref="D128:E128"/>
    <mergeCell ref="B129:C129"/>
    <mergeCell ref="D129:E129"/>
    <mergeCell ref="B116:C116"/>
    <mergeCell ref="D116:E116"/>
    <mergeCell ref="D119:E119"/>
    <mergeCell ref="B120:C120"/>
    <mergeCell ref="D120:E120"/>
    <mergeCell ref="B122:C122"/>
    <mergeCell ref="D122:E122"/>
    <mergeCell ref="B117:C117"/>
    <mergeCell ref="D117:E117"/>
    <mergeCell ref="B121:C121"/>
    <mergeCell ref="B115:C115"/>
    <mergeCell ref="D115:E115"/>
    <mergeCell ref="B104:C104"/>
    <mergeCell ref="D104:E104"/>
    <mergeCell ref="B105:C105"/>
    <mergeCell ref="D105:E105"/>
    <mergeCell ref="B107:C107"/>
    <mergeCell ref="D107:E107"/>
    <mergeCell ref="B111:C111"/>
    <mergeCell ref="B106:C106"/>
    <mergeCell ref="B100:C100"/>
    <mergeCell ref="D100:E100"/>
    <mergeCell ref="B103:C103"/>
    <mergeCell ref="D103:E103"/>
    <mergeCell ref="D102:E102"/>
    <mergeCell ref="B102:C102"/>
    <mergeCell ref="B101:C101"/>
    <mergeCell ref="D101:E101"/>
    <mergeCell ref="B97:C97"/>
    <mergeCell ref="D97:E97"/>
    <mergeCell ref="B99:C99"/>
    <mergeCell ref="D99:E99"/>
    <mergeCell ref="B98:C98"/>
    <mergeCell ref="D98:E98"/>
    <mergeCell ref="B94:C94"/>
    <mergeCell ref="D94:E94"/>
    <mergeCell ref="B95:C95"/>
    <mergeCell ref="D95:E95"/>
    <mergeCell ref="B96:C96"/>
    <mergeCell ref="D96:E96"/>
    <mergeCell ref="D90:E90"/>
    <mergeCell ref="B91:C91"/>
    <mergeCell ref="D91:E91"/>
    <mergeCell ref="B92:C92"/>
    <mergeCell ref="D92:E92"/>
    <mergeCell ref="B93:C93"/>
    <mergeCell ref="D93:E93"/>
    <mergeCell ref="B77:C77"/>
    <mergeCell ref="D77:E77"/>
    <mergeCell ref="B85:C85"/>
    <mergeCell ref="D85:E85"/>
    <mergeCell ref="B86:C86"/>
    <mergeCell ref="D86:E86"/>
    <mergeCell ref="B82:C82"/>
    <mergeCell ref="D82:E82"/>
    <mergeCell ref="B83:C83"/>
    <mergeCell ref="D83:E83"/>
    <mergeCell ref="B73:C73"/>
    <mergeCell ref="D73:E73"/>
    <mergeCell ref="B74:C74"/>
    <mergeCell ref="D74:E74"/>
    <mergeCell ref="B76:C76"/>
    <mergeCell ref="D76:E76"/>
    <mergeCell ref="B65:C65"/>
    <mergeCell ref="D65:E65"/>
    <mergeCell ref="B67:C67"/>
    <mergeCell ref="D67:E67"/>
    <mergeCell ref="B75:C75"/>
    <mergeCell ref="D75:E75"/>
    <mergeCell ref="B68:C68"/>
    <mergeCell ref="D68:E68"/>
    <mergeCell ref="B69:C69"/>
    <mergeCell ref="D69:E69"/>
    <mergeCell ref="B62:C62"/>
    <mergeCell ref="D62:E62"/>
    <mergeCell ref="B63:C63"/>
    <mergeCell ref="D63:E63"/>
    <mergeCell ref="B64:C64"/>
    <mergeCell ref="D64:E64"/>
    <mergeCell ref="B59:C59"/>
    <mergeCell ref="D59:E59"/>
    <mergeCell ref="B60:C60"/>
    <mergeCell ref="D60:E60"/>
    <mergeCell ref="B61:C61"/>
    <mergeCell ref="D61:E61"/>
    <mergeCell ref="B56:C56"/>
    <mergeCell ref="D56:E56"/>
    <mergeCell ref="B57:C57"/>
    <mergeCell ref="D57:E57"/>
    <mergeCell ref="B58:C58"/>
    <mergeCell ref="D58:E58"/>
    <mergeCell ref="B53:C53"/>
    <mergeCell ref="D53:E53"/>
    <mergeCell ref="B54:C54"/>
    <mergeCell ref="D54:E54"/>
    <mergeCell ref="B55:C55"/>
    <mergeCell ref="D55:E55"/>
    <mergeCell ref="D46:E46"/>
    <mergeCell ref="B50:C50"/>
    <mergeCell ref="D50:E50"/>
    <mergeCell ref="B51:C51"/>
    <mergeCell ref="D51:E51"/>
    <mergeCell ref="B52:C52"/>
    <mergeCell ref="D52:E52"/>
    <mergeCell ref="D43:E43"/>
    <mergeCell ref="B44:C44"/>
    <mergeCell ref="D44:E44"/>
    <mergeCell ref="B45:C45"/>
    <mergeCell ref="D45:E45"/>
    <mergeCell ref="B49:C49"/>
    <mergeCell ref="D49:E49"/>
    <mergeCell ref="B48:C48"/>
    <mergeCell ref="D48:E48"/>
    <mergeCell ref="B46:C46"/>
    <mergeCell ref="B31:C31"/>
    <mergeCell ref="D31:E31"/>
    <mergeCell ref="B32:C32"/>
    <mergeCell ref="B38:C38"/>
    <mergeCell ref="D38:E38"/>
    <mergeCell ref="B39:C39"/>
    <mergeCell ref="D39:E39"/>
    <mergeCell ref="D32:E32"/>
    <mergeCell ref="D36:E36"/>
    <mergeCell ref="B26:C26"/>
    <mergeCell ref="D26:E26"/>
    <mergeCell ref="B47:C47"/>
    <mergeCell ref="D47:E47"/>
    <mergeCell ref="B28:C28"/>
    <mergeCell ref="D28:E28"/>
    <mergeCell ref="B29:C29"/>
    <mergeCell ref="D29:E29"/>
    <mergeCell ref="B33:C33"/>
    <mergeCell ref="D33:E33"/>
    <mergeCell ref="B15:C15"/>
    <mergeCell ref="D15:E15"/>
    <mergeCell ref="B16:C16"/>
    <mergeCell ref="D16:E16"/>
    <mergeCell ref="B18:C18"/>
    <mergeCell ref="D18:E18"/>
    <mergeCell ref="B7:C7"/>
    <mergeCell ref="D7:E7"/>
    <mergeCell ref="B2:H2"/>
    <mergeCell ref="B3:H3"/>
    <mergeCell ref="B4:H4"/>
    <mergeCell ref="B5:C6"/>
    <mergeCell ref="D5:E6"/>
    <mergeCell ref="F5:H5"/>
    <mergeCell ref="B8:C8"/>
    <mergeCell ref="D8:E8"/>
    <mergeCell ref="B17:C17"/>
    <mergeCell ref="D17:E17"/>
    <mergeCell ref="B12:C12"/>
    <mergeCell ref="D12:E12"/>
    <mergeCell ref="B13:C13"/>
    <mergeCell ref="D13:E13"/>
    <mergeCell ref="B14:C14"/>
    <mergeCell ref="D14:E14"/>
    <mergeCell ref="B40:C40"/>
    <mergeCell ref="D40:E40"/>
    <mergeCell ref="B41:C41"/>
    <mergeCell ref="B37:C37"/>
    <mergeCell ref="D37:E37"/>
    <mergeCell ref="D41:E41"/>
    <mergeCell ref="B42:C42"/>
    <mergeCell ref="D42:E42"/>
    <mergeCell ref="B43:C43"/>
    <mergeCell ref="B80:C80"/>
    <mergeCell ref="D80:E80"/>
    <mergeCell ref="B81:C81"/>
    <mergeCell ref="D81:E81"/>
    <mergeCell ref="B78:C78"/>
    <mergeCell ref="D78:E78"/>
    <mergeCell ref="D79:E79"/>
    <mergeCell ref="D121:E121"/>
    <mergeCell ref="B118:C118"/>
    <mergeCell ref="D118:E118"/>
    <mergeCell ref="B119:C119"/>
    <mergeCell ref="D139:E139"/>
    <mergeCell ref="B140:C140"/>
    <mergeCell ref="B123:C123"/>
    <mergeCell ref="D123:E123"/>
    <mergeCell ref="B124:C124"/>
    <mergeCell ref="D124:E124"/>
    <mergeCell ref="B125:C125"/>
    <mergeCell ref="D125:E125"/>
    <mergeCell ref="B126:C126"/>
    <mergeCell ref="D126:E126"/>
    <mergeCell ref="D143:E143"/>
    <mergeCell ref="B138:C138"/>
    <mergeCell ref="D138:E138"/>
    <mergeCell ref="B131:C131"/>
    <mergeCell ref="D131:E131"/>
    <mergeCell ref="D132:E132"/>
    <mergeCell ref="B148:C148"/>
    <mergeCell ref="D148:E148"/>
    <mergeCell ref="H180:H188"/>
    <mergeCell ref="B177:C177"/>
    <mergeCell ref="D177:E177"/>
    <mergeCell ref="D165:E165"/>
    <mergeCell ref="B169:C169"/>
    <mergeCell ref="B153:C153"/>
    <mergeCell ref="D153:E153"/>
    <mergeCell ref="D160:E160"/>
    <mergeCell ref="B9:C9"/>
    <mergeCell ref="D9:E9"/>
    <mergeCell ref="B10:C10"/>
    <mergeCell ref="D10:E10"/>
    <mergeCell ref="F180:F188"/>
    <mergeCell ref="D157:E157"/>
    <mergeCell ref="B165:C165"/>
    <mergeCell ref="B146:C146"/>
    <mergeCell ref="D146:E146"/>
    <mergeCell ref="D147:E147"/>
    <mergeCell ref="F196:F202"/>
    <mergeCell ref="F203:F206"/>
    <mergeCell ref="F207:F212"/>
    <mergeCell ref="G180:G188"/>
    <mergeCell ref="G189:G195"/>
    <mergeCell ref="G196:G202"/>
    <mergeCell ref="G203:G206"/>
    <mergeCell ref="G207:G212"/>
    <mergeCell ref="B154:C154"/>
    <mergeCell ref="D154:E154"/>
    <mergeCell ref="B155:C155"/>
    <mergeCell ref="D155:E155"/>
    <mergeCell ref="B151:C151"/>
    <mergeCell ref="B114:C114"/>
    <mergeCell ref="D114:E114"/>
    <mergeCell ref="D145:E145"/>
    <mergeCell ref="B149:C149"/>
    <mergeCell ref="D149:E149"/>
    <mergeCell ref="B79:C79"/>
    <mergeCell ref="B110:C110"/>
    <mergeCell ref="D110:E110"/>
    <mergeCell ref="B113:C113"/>
    <mergeCell ref="D113:E113"/>
    <mergeCell ref="D111:E111"/>
    <mergeCell ref="B112:C112"/>
    <mergeCell ref="D112:E112"/>
    <mergeCell ref="D89:E89"/>
    <mergeCell ref="B90:C90"/>
    <mergeCell ref="D30:E30"/>
    <mergeCell ref="B87:C87"/>
    <mergeCell ref="D87:E87"/>
    <mergeCell ref="B88:C88"/>
    <mergeCell ref="D88:E88"/>
    <mergeCell ref="B89:C89"/>
    <mergeCell ref="B66:C66"/>
    <mergeCell ref="D66:E66"/>
    <mergeCell ref="B70:C70"/>
    <mergeCell ref="D70:E70"/>
    <mergeCell ref="B11:C11"/>
    <mergeCell ref="D11:E11"/>
    <mergeCell ref="B71:C71"/>
    <mergeCell ref="D71:E71"/>
    <mergeCell ref="B72:C72"/>
    <mergeCell ref="D72:E72"/>
    <mergeCell ref="B21:C21"/>
    <mergeCell ref="D21:E21"/>
    <mergeCell ref="B25:C25"/>
    <mergeCell ref="D25:E25"/>
    <mergeCell ref="B174:C174"/>
    <mergeCell ref="D178:E178"/>
    <mergeCell ref="B134:C134"/>
    <mergeCell ref="D134:E134"/>
    <mergeCell ref="B23:C23"/>
    <mergeCell ref="D23:E23"/>
    <mergeCell ref="B24:C24"/>
    <mergeCell ref="D24:E24"/>
    <mergeCell ref="B30:C3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Marisol González González</dc:creator>
  <cp:keywords/>
  <dc:description/>
  <cp:lastModifiedBy>Carlos Moreno Cruz</cp:lastModifiedBy>
  <cp:lastPrinted>2021-01-26T17:11:27Z</cp:lastPrinted>
  <dcterms:created xsi:type="dcterms:W3CDTF">2013-12-02T18:21:46Z</dcterms:created>
  <dcterms:modified xsi:type="dcterms:W3CDTF">2022-01-13T17:41:23Z</dcterms:modified>
  <cp:category/>
  <cp:version/>
  <cp:contentType/>
  <cp:contentStatus/>
</cp:coreProperties>
</file>